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к пользоваться" state="visible" r:id="rId4"/>
    <sheet sheetId="2" name="Сайкл" state="visible" r:id="rId5"/>
    <sheet sheetId="3" name="Гребля" state="visible" r:id="rId6"/>
  </sheets>
  <calcPr calcId="171027"/>
</workbook>
</file>

<file path=xl/sharedStrings.xml><?xml version="1.0" encoding="utf-8"?>
<sst xmlns="http://schemas.openxmlformats.org/spreadsheetml/2006/main" count="310" uniqueCount="142">
  <si>
    <t>Финансовая модель сайкл- и гребной студии</t>
  </si>
  <si>
    <t>Пример. Цифры — не факты TRIDE и не гарантия дохода: подставьте свои.</t>
  </si>
  <si>
    <t>1. Листы «Сайкл» и «Гребля»: жёлтые ячейки — вводные. Цифры в них — наши оценки, подставьте свои.</t>
  </si>
  <si>
    <t xml:space="preserve">   На «Сайкле» пример отдельной студии, на «Гребле» — студии в фитнес-клубе.</t>
  </si>
  <si>
    <t>2. Вложения целиком: тренажёры, «железо» TRIDE, ремонт и инженерия, экран и звук, раздевалки, депозит,</t>
  </si>
  <si>
    <t xml:space="preserve">   маркетинг до открытия и резерв. Расходы: аренда, коммунальные, администраторы, тренеры, уборка,</t>
  </si>
  <si>
    <t xml:space="preserve">   обслуживание тренажёров, музыка, офис, TRIDE, маркетинг, эквайринг и налог (УСН 6 %, 15 % или свой %).</t>
  </si>
  <si>
    <t>3. Выручка: расписание в два слоя — пиковые и непиковые часы со своей заполняемостью,</t>
  </si>
  <si>
    <t xml:space="preserve">   средняя выручка с визита, визиты по абонементу клуба без доплаты и дополнительная выручка.</t>
  </si>
  <si>
    <t>4. Справа — денежный поток на 36 месяцев с разгоном загрузки; по нему считаются окупаемость</t>
  </si>
  <si>
    <t xml:space="preserve">   и «сколько денег нужно всего». Ниже — прибыль после разгона при заполняемости ±10 п. п. и чеке ±10 %.</t>
  </si>
  <si>
    <t>5. Маркетинг «через отток»: (клиенты × отток + прирост на разгоне) × стоимость привлечения.</t>
  </si>
  <si>
    <t>6. Цены TRIDE — с tride.ru/pricing на 09.10.2026, оплата помесячно. Тариф считается как «Базовый» + опции;</t>
  </si>
  <si>
    <t xml:space="preserve">   при большом наборе опций выгоднее пакет — сравните на tride.ru/pricing.</t>
  </si>
  <si>
    <t>7. Те же формулы — в онлайн-калькуляторе на tride.ru/cycle-studio и tride.ru/rowing-studio.</t>
  </si>
  <si>
    <t>Модель не учитывает уменьшение налога на страховые взносы, амортизацию и рост цен.</t>
  </si>
  <si>
    <t>Финмодель сайкл-студии</t>
  </si>
  <si>
    <t>Формат: отдельная студия. Своё помещение с нуля: ремонт, раздевалки, администраторы, маркетинг до открытия.</t>
  </si>
  <si>
    <t>Жёлтые ячейки — вводные (оценки, не данные TRIDE), остальное считается формулами.</t>
  </si>
  <si>
    <t>Вводные: Основное</t>
  </si>
  <si>
    <t>Денежный поток по месяцам</t>
  </si>
  <si>
    <t>Тренажёров</t>
  </si>
  <si>
    <t>шт.</t>
  </si>
  <si>
    <t>Месяц</t>
  </si>
  <si>
    <t>Загрузка от целевой</t>
  </si>
  <si>
    <t>Визитов</t>
  </si>
  <si>
    <t>Выручка</t>
  </si>
  <si>
    <t>Маркетинг</t>
  </si>
  <si>
    <t>Эквайринг</t>
  </si>
  <si>
    <t>Налог</t>
  </si>
  <si>
    <t>Прибыль</t>
  </si>
  <si>
    <t>Накопленный итог</t>
  </si>
  <si>
    <t>флаг: окуп.</t>
  </si>
  <si>
    <t>флаг: плюс</t>
  </si>
  <si>
    <t>Площадь студии</t>
  </si>
  <si>
    <t>м² · оценка: около 4,5 м² на тренажёр и 20 м² на проходы и место тренера</t>
  </si>
  <si>
    <t>Аренда в месяц</t>
  </si>
  <si>
    <t>оценка: в клубе — 0 или доля площади по ставке клуба</t>
  </si>
  <si>
    <t>Средняя выручка с визита</t>
  </si>
  <si>
    <t>оценка: ниже цены разового: пакеты и абонементы продаются со скидкой</t>
  </si>
  <si>
    <t>Заполняемость в пиковые часы</t>
  </si>
  <si>
    <t>оценка: утро и вечер буднего дня, выходные</t>
  </si>
  <si>
    <t>Заполняемость в непиковые часы</t>
  </si>
  <si>
    <t>оценка: день буднего дня</t>
  </si>
  <si>
    <t>Вводные: Вложения</t>
  </si>
  <si>
    <t>Цена одного тренажёра</t>
  </si>
  <si>
    <t>Ремонт и инженерия</t>
  </si>
  <si>
    <t>₽/м² · оценка: отделка, вентиляция и кондиционирование — для студии это главная статья</t>
  </si>
  <si>
    <t>Экран или проектор, звук, свет</t>
  </si>
  <si>
    <t>оценка: проектор или большой экран, акустика, сценический свет</t>
  </si>
  <si>
    <t>Раздевалки и душевые</t>
  </si>
  <si>
    <t>оценка: только для отдельной студии</t>
  </si>
  <si>
    <t>Депозит за аренду</t>
  </si>
  <si>
    <t>мес · оценка: обычно 1–3 месяца аренды</t>
  </si>
  <si>
    <t>Маркетинг до открытия</t>
  </si>
  <si>
    <t>оценка: реклама, пробные занятия, предпродажи</t>
  </si>
  <si>
    <t>Резерв на непредвиденное</t>
  </si>
  <si>
    <t>оценка: от суммы вложений</t>
  </si>
  <si>
    <t>«Железо» TRIDE: TRIDEBox</t>
  </si>
  <si>
    <t>разово · шлюз + мини-ПК + ПО</t>
  </si>
  <si>
    <t>Вводные: Расписание и выручка</t>
  </si>
  <si>
    <t>Занятий с тренером в пик</t>
  </si>
  <si>
    <t>в неделю</t>
  </si>
  <si>
    <t>Занятий с тренером в непик</t>
  </si>
  <si>
    <t>Виртуальных занятий в пик</t>
  </si>
  <si>
    <t>Виртуальных занятий в непик</t>
  </si>
  <si>
    <t>в неделю · оценка: без тренера, запускаются по расписанию</t>
  </si>
  <si>
    <t>Визиты по абонементу клуба без доплаты</t>
  </si>
  <si>
    <t>для студии в клубе · оценка: такие визиты не приносят студии выручки</t>
  </si>
  <si>
    <t>Дополнительная выручка в месяц</t>
  </si>
  <si>
    <t>оценка: аренда студии под мероприятия, напитки, мерч</t>
  </si>
  <si>
    <t>Вводные: Расходы в месяц</t>
  </si>
  <si>
    <t>Оплата тренеру за занятие</t>
  </si>
  <si>
    <t>Администраторы с налогами на ФОТ</t>
  </si>
  <si>
    <t>₽/мес · оценка: ресепшен на всё время работы студии</t>
  </si>
  <si>
    <t>Коммунальные платежи</t>
  </si>
  <si>
    <t>₽/м² в месяц · оценка: электричество, вода, отопление</t>
  </si>
  <si>
    <t>Уборка</t>
  </si>
  <si>
    <t>₽/мес</t>
  </si>
  <si>
    <t>Обслуживание тренажёров</t>
  </si>
  <si>
    <t>% в год · оценка: от стоимости тренажёров: ремонт, запчасти, сервис</t>
  </si>
  <si>
    <t>Музыка: лицензии на публичное исполнение</t>
  </si>
  <si>
    <t>Бухгалтерия, связь, ПО</t>
  </si>
  <si>
    <t>% с выручки · оценка: комиссия банка с оплат картой</t>
  </si>
  <si>
    <t>Свой налог, % с выручки</t>
  </si>
  <si>
    <t>% с выручки · при режиме «свой %»</t>
  </si>
  <si>
    <t>Режим налога</t>
  </si>
  <si>
    <t>УСН 6%</t>
  </si>
  <si>
    <t>УСН 6% / УСН 15% / свой %</t>
  </si>
  <si>
    <t>Вводные: Разгон и маркетинг</t>
  </si>
  <si>
    <t>Загрузка в первый месяц</t>
  </si>
  <si>
    <t>% от целевой · оценка: новая студия набирает клиентов несколько месяцев</t>
  </si>
  <si>
    <t>Выход на целевую загрузку</t>
  </si>
  <si>
    <t>мес</t>
  </si>
  <si>
    <t>₽/мес · при маркетинге «суммой» · оценка: реклама, соцсети, акции</t>
  </si>
  <si>
    <t>Если ошиблись в допущениях: прибыль после разгона</t>
  </si>
  <si>
    <t>Визитов одного клиента в месяц</t>
  </si>
  <si>
    <t>шт. · при маркетинге «через отток»</t>
  </si>
  <si>
    <t>Заполняемость, п. п.</t>
  </si>
  <si>
    <t>Чек</t>
  </si>
  <si>
    <t>Отток клиентов в месяц</t>
  </si>
  <si>
    <t>при маркетинге «через отток» · оценка: какая доля клиентов перестаёт ходить за месяц</t>
  </si>
  <si>
    <t>Стоимость привлечения клиента</t>
  </si>
  <si>
    <t>при маркетинге «через отток»</t>
  </si>
  <si>
    <t>Как считать маркетинг</t>
  </si>
  <si>
    <t>суммой</t>
  </si>
  <si>
    <t>суммой / через отток</t>
  </si>
  <si>
    <t>Тариф TRIDE в месяц</t>
  </si>
  <si>
    <t>Тариф «Базовый»</t>
  </si>
  <si>
    <t>цены tride.ru/pricing на 09.10.2026, оплата помесячно</t>
  </si>
  <si>
    <t>Управляемые экраны — Лайт (1 экран)</t>
  </si>
  <si>
    <t>Оборудование — Лайт (до 20 единиц)</t>
  </si>
  <si>
    <t>Оборудование — Про (без ограничений)</t>
  </si>
  <si>
    <t>Свои программы — Лайт (для виртуальных занятий)</t>
  </si>
  <si>
    <t>Итого тариф TRIDE</t>
  </si>
  <si>
    <t>Вложения</t>
  </si>
  <si>
    <t>Тренажёры</t>
  </si>
  <si>
    <t>«Железо» TRIDE</t>
  </si>
  <si>
    <t>Экран, звук, свет</t>
  </si>
  <si>
    <t>Резерв</t>
  </si>
  <si>
    <t>Вложения всего</t>
  </si>
  <si>
    <t>Постоянные расходы в месяц</t>
  </si>
  <si>
    <t>Недель в месяце</t>
  </si>
  <si>
    <t>Аренда</t>
  </si>
  <si>
    <t>Администраторы</t>
  </si>
  <si>
    <t>Тренеры</t>
  </si>
  <si>
    <t>Музыка</t>
  </si>
  <si>
    <t>TRIDE</t>
  </si>
  <si>
    <t>Постоянные расходы всего</t>
  </si>
  <si>
    <t>Месяц после разгона</t>
  </si>
  <si>
    <t>Средняя заполняемость занятий</t>
  </si>
  <si>
    <t>Остаётся в месяц</t>
  </si>
  <si>
    <t>Итоги</t>
  </si>
  <si>
    <t>Окупаемость, месяцев</t>
  </si>
  <si>
    <t>первый месяц, когда накопленный итог ≥ 0</t>
  </si>
  <si>
    <t>Сколько денег нужно всего</t>
  </si>
  <si>
    <t>вложения + минус первых месяцев</t>
  </si>
  <si>
    <t>Первый месяц в плюсе</t>
  </si>
  <si>
    <t>Финмодель гребной-студии</t>
  </si>
  <si>
    <t>Формат: студия в клубе. Зал и ресепшен уже есть: аренда и администраторы — у клуба, ремонт — вентиляция и свет.</t>
  </si>
  <si>
    <t>«Железо» TRIDE: TRIDEGate + приставка</t>
  </si>
  <si>
    <t>разово · покупка Android TV-приставки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</si>
</sst>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₽&quot;"/>
    <numFmt numFmtId="165" formatCode="0.0%"/>
    <numFmt numFmtId="166" formatCode="+0%;-0%;0%"/>
  </numFmts>
  <fonts count="7" x14ac:knownFonts="1">
    <font>
      <color theme="1"/>
      <family val="2"/>
      <scheme val="minor"/>
      <sz val="11"/>
      <name val="Calibri"/>
    </font>
    <font>
      <b/>
      <color rgb="FF0A0B0C"/>
      <sz val="16"/>
    </font>
    <font>
      <color rgb="FF57534C"/>
      <sz val="10"/>
    </font>
    <font>
      <color rgb="FF0A0B0C"/>
      <sz val="10"/>
    </font>
    <font>
      <b/>
      <color rgb="FFFFFFFF"/>
    </font>
    <font>
      <b/>
    </font>
    <font>
      <b/>
      <color rgb="FFBB1E1E"/>
    </font>
  </fonts>
  <fills count="4">
    <fill>
      <patternFill patternType="none"/>
    </fill>
    <fill>
      <patternFill patternType="gray125"/>
    </fill>
    <fill>
      <patternFill patternType="solid">
        <fgColor rgb="FF0A0B0C"/>
      </patternFill>
    </fill>
    <fill>
      <patternFill patternType="solid">
        <fgColor rgb="FFFFF4C2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4C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4" fillId="2" borderId="0" xfId="0" applyFont="1" applyFill="1"/>
    <xf numFmtId="3" fontId="0" fillId="3" borderId="1" xfId="0" applyNumberFormat="1" applyFill="1" applyBorder="1"/>
    <xf numFmtId="0" fontId="2" fillId="0" borderId="0" xfId="0" applyFont="1"/>
    <xf numFmtId="164" fontId="0" fillId="0" borderId="0" xfId="0" applyNumberFormat="1"/>
    <xf numFmtId="164" fontId="0" fillId="3" borderId="1" xfId="0" applyNumberFormat="1" applyFill="1" applyBorder="1"/>
    <xf numFmtId="9" fontId="0" fillId="0" borderId="0" xfId="0" applyNumberFormat="1"/>
    <xf numFmtId="3" fontId="0" fillId="0" borderId="0" xfId="0" applyNumberFormat="1"/>
    <xf numFmtId="165" fontId="0" fillId="3" borderId="1" xfId="0" applyNumberFormat="1" applyFill="1" applyBorder="1"/>
    <xf numFmtId="49" fontId="0" fillId="3" borderId="1" xfId="0" applyNumberFormat="1" applyFill="1" applyBorder="1"/>
    <xf numFmtId="166" fontId="0" fillId="0" borderId="0" xfId="0" applyNumberFormat="1"/>
    <xf numFmtId="0" fontId="5" fillId="0" borderId="0" xfId="0" applyFont="1"/>
    <xf numFmtId="164" fontId="6" fillId="0" borderId="0" xfId="0" applyNumberFormat="1" applyFont="1"/>
    <xf numFmtId="2" fontId="0" fillId="0" borderId="0" xfId="0" applyNumberFormat="1"/>
    <xf numFmtId="165" fontId="0" fillId="0" borderId="0" xfId="0" applyNumberFormat="1"/>
    <xf numFmtId="3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 showGridLines="0"/>
  </sheetViews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6" customWidth="1"/>
    <col min="3" max="3" width="44" customWidth="1"/>
    <col min="4" max="4" width="3" customWidth="1"/>
    <col min="5" max="5" width="8" customWidth="1"/>
    <col min="6" max="6" width="12" customWidth="1"/>
    <col min="7" max="7" width="10" customWidth="1"/>
    <col min="8" max="12" width="14" customWidth="1"/>
    <col min="13" max="13" width="16" customWidth="1"/>
    <col min="14" max="15" width="10" customWidth="1"/>
  </cols>
  <sheetData>
    <row r="1" spans="1:1" x14ac:dyDescent="0.25">
      <c r="A1" s="1" t="s">
        <v>16</v>
      </c>
    </row>
    <row r="2" spans="1:1" x14ac:dyDescent="0.25">
      <c r="A2" s="2" t="s">
        <v>17</v>
      </c>
    </row>
    <row r="3" spans="1:1" x14ac:dyDescent="0.25">
      <c r="A3" s="2" t="s">
        <v>18</v>
      </c>
    </row>
    <row r="5" spans="1:15" x14ac:dyDescent="0.25">
      <c r="A5" s="4" t="s">
        <v>19</v>
      </c>
      <c r="B5" s="4"/>
      <c r="C5" s="4"/>
      <c r="E5" s="4" t="s">
        <v>20</v>
      </c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t="s">
        <v>21</v>
      </c>
      <c r="B6" s="5">
        <v>15</v>
      </c>
      <c r="C6" s="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33</v>
      </c>
    </row>
    <row r="7" spans="1:13" x14ac:dyDescent="0.25">
      <c r="A7" t="s">
        <v>34</v>
      </c>
      <c r="B7" s="5">
        <v>90</v>
      </c>
      <c r="C7" s="6" t="s">
        <v>35</v>
      </c>
      <c r="E7">
        <v>0</v>
      </c>
      <c r="M7" s="7">
        <f>-$B$69</f>
        <v>-5901500</v>
      </c>
    </row>
    <row r="8" spans="1:15" x14ac:dyDescent="0.25">
      <c r="A8" t="s">
        <v>36</v>
      </c>
      <c r="B8" s="8">
        <v>150000</v>
      </c>
      <c r="C8" s="6" t="s">
        <v>37</v>
      </c>
      <c r="E8">
        <v>1</v>
      </c>
      <c r="F8" s="9">
        <f>IF(ROUND($B$45,0)=0,1,$B$44+(1-$B$44)*MIN(1,(E8-1)/ROUND($B$45,0)))</f>
        <v>0.3</v>
      </c>
      <c r="G8" s="10">
        <f>ROUND((($B$24+$B$26)*$B$6*$B$10+($B$25+$B$27)*$B$6*$B$11)*F8*$B$72,0)</f>
        <v>259</v>
      </c>
      <c r="H8" s="7">
        <f>ROUND(G8*(1-$B$28)*$B$9+$B$29*F8,0)</f>
        <v>259000</v>
      </c>
      <c r="I8" s="7">
        <f>ROUND(IF($B$50="через отток",(IF($B$47&gt;0,G8/$B$47,0)*$B$48+0)*$B$49,$B$46),0)</f>
        <v>50000</v>
      </c>
      <c r="J8" s="7">
        <f>ROUND(H8*$B$39,0)</f>
        <v>5180</v>
      </c>
      <c r="K8" s="7">
        <f>ROUND(IF($B$41="УСН 15%",MAX(H8*0.01,(H8-($B$82+I8+J8))*0.15),IF($B$41="УСН 6%",H8*0.06,H8*$B$40)),0)</f>
        <v>15540</v>
      </c>
      <c r="L8" s="7">
        <f>H8-$B$82-I8-J8-K8</f>
        <v>-288715</v>
      </c>
      <c r="M8" s="7">
        <f>M7+L8</f>
        <v>-6190215</v>
      </c>
      <c r="N8" s="10">
        <f>IF(M8&gt;=0,E8,999)</f>
        <v>999</v>
      </c>
      <c r="O8" s="10">
        <f>IF(L8&gt;0,E8,999)</f>
        <v>999</v>
      </c>
    </row>
    <row r="9" spans="1:15" x14ac:dyDescent="0.25">
      <c r="A9" t="s">
        <v>38</v>
      </c>
      <c r="B9" s="8">
        <v>1000</v>
      </c>
      <c r="C9" s="6" t="s">
        <v>39</v>
      </c>
      <c r="E9">
        <v>2</v>
      </c>
      <c r="F9" s="9">
        <f>IF(ROUND($B$45,0)=0,1,$B$44+(1-$B$44)*MIN(1,(E9-1)/ROUND($B$45,0)))</f>
        <v>0.41666666666666663</v>
      </c>
      <c r="G9" s="10">
        <f>ROUND((($B$24+$B$26)*$B$6*$B$10+($B$25+$B$27)*$B$6*$B$11)*F9*$B$72,0)</f>
        <v>360</v>
      </c>
      <c r="H9" s="7">
        <f>ROUND(G9*(1-$B$28)*$B$9+$B$29*F9,0)</f>
        <v>360000</v>
      </c>
      <c r="I9" s="7">
        <f>ROUND(IF($B$50="через отток",(IF($B$47&gt;0,G9/$B$47,0)*$B$48+IF($B$47&gt;0,MAX(0,G9/$B$47-G8/$B$47),0))*$B$49,$B$46),0)</f>
        <v>50000</v>
      </c>
      <c r="J9" s="7">
        <f>ROUND(H9*$B$39,0)</f>
        <v>7200</v>
      </c>
      <c r="K9" s="7">
        <f>ROUND(IF($B$41="УСН 15%",MAX(H9*0.01,(H9-($B$82+I9+J9))*0.15),IF($B$41="УСН 6%",H9*0.06,H9*$B$40)),0)</f>
        <v>21600</v>
      </c>
      <c r="L9" s="7">
        <f>H9-$B$82-I9-J9-K9</f>
        <v>-195795</v>
      </c>
      <c r="M9" s="7">
        <f>M8+L9</f>
        <v>-6386010</v>
      </c>
      <c r="N9" s="10">
        <f>IF(M9&gt;=0,E9,999)</f>
        <v>999</v>
      </c>
      <c r="O9" s="10">
        <f>IF(L9&gt;0,E9,999)</f>
        <v>999</v>
      </c>
    </row>
    <row r="10" spans="1:15" x14ac:dyDescent="0.25">
      <c r="A10" t="s">
        <v>40</v>
      </c>
      <c r="B10" s="11">
        <v>0.7</v>
      </c>
      <c r="C10" s="6" t="s">
        <v>41</v>
      </c>
      <c r="E10">
        <v>3</v>
      </c>
      <c r="F10" s="9">
        <f>IF(ROUND($B$45,0)=0,1,$B$44+(1-$B$44)*MIN(1,(E10-1)/ROUND($B$45,0)))</f>
        <v>0.5333333333333333</v>
      </c>
      <c r="G10" s="10">
        <f>ROUND((($B$24+$B$26)*$B$6*$B$10+($B$25+$B$27)*$B$6*$B$11)*F10*$B$72,0)</f>
        <v>461</v>
      </c>
      <c r="H10" s="7">
        <f>ROUND(G10*(1-$B$28)*$B$9+$B$29*F10,0)</f>
        <v>461000</v>
      </c>
      <c r="I10" s="7">
        <f>ROUND(IF($B$50="через отток",(IF($B$47&gt;0,G10/$B$47,0)*$B$48+IF($B$47&gt;0,MAX(0,G10/$B$47-G9/$B$47),0))*$B$49,$B$46),0)</f>
        <v>50000</v>
      </c>
      <c r="J10" s="7">
        <f>ROUND(H10*$B$39,0)</f>
        <v>9220</v>
      </c>
      <c r="K10" s="7">
        <f>ROUND(IF($B$41="УСН 15%",MAX(H10*0.01,(H10-($B$82+I10+J10))*0.15),IF($B$41="УСН 6%",H10*0.06,H10*$B$40)),0)</f>
        <v>27660</v>
      </c>
      <c r="L10" s="7">
        <f>H10-$B$82-I10-J10-K10</f>
        <v>-102875</v>
      </c>
      <c r="M10" s="7">
        <f>M9+L10</f>
        <v>-6488885</v>
      </c>
      <c r="N10" s="10">
        <f>IF(M10&gt;=0,E10,999)</f>
        <v>999</v>
      </c>
      <c r="O10" s="10">
        <f>IF(L10&gt;0,E10,999)</f>
        <v>999</v>
      </c>
    </row>
    <row r="11" spans="1:15" x14ac:dyDescent="0.25">
      <c r="A11" t="s">
        <v>42</v>
      </c>
      <c r="B11" s="11">
        <v>0.25</v>
      </c>
      <c r="C11" s="6" t="s">
        <v>43</v>
      </c>
      <c r="E11">
        <v>4</v>
      </c>
      <c r="F11" s="9">
        <f>IF(ROUND($B$45,0)=0,1,$B$44+(1-$B$44)*MIN(1,(E11-1)/ROUND($B$45,0)))</f>
        <v>0.6499999999999999</v>
      </c>
      <c r="G11" s="10">
        <f>ROUND((($B$24+$B$26)*$B$6*$B$10+($B$25+$B$27)*$B$6*$B$11)*F11*$B$72,0)</f>
        <v>562</v>
      </c>
      <c r="H11" s="7">
        <f>ROUND(G11*(1-$B$28)*$B$9+$B$29*F11,0)</f>
        <v>562000</v>
      </c>
      <c r="I11" s="7">
        <f>ROUND(IF($B$50="через отток",(IF($B$47&gt;0,G11/$B$47,0)*$B$48+IF($B$47&gt;0,MAX(0,G11/$B$47-G10/$B$47),0))*$B$49,$B$46),0)</f>
        <v>50000</v>
      </c>
      <c r="J11" s="7">
        <f>ROUND(H11*$B$39,0)</f>
        <v>11240</v>
      </c>
      <c r="K11" s="7">
        <f>ROUND(IF($B$41="УСН 15%",MAX(H11*0.01,(H11-($B$82+I11+J11))*0.15),IF($B$41="УСН 6%",H11*0.06,H11*$B$40)),0)</f>
        <v>33720</v>
      </c>
      <c r="L11" s="7">
        <f>H11-$B$82-I11-J11-K11</f>
        <v>-9955</v>
      </c>
      <c r="M11" s="7">
        <f>M10+L11</f>
        <v>-6498840</v>
      </c>
      <c r="N11" s="10">
        <f>IF(M11&gt;=0,E11,999)</f>
        <v>999</v>
      </c>
      <c r="O11" s="10">
        <f>IF(L11&gt;0,E11,999)</f>
        <v>999</v>
      </c>
    </row>
    <row r="12" spans="5:15" x14ac:dyDescent="0.25">
      <c r="E12">
        <v>5</v>
      </c>
      <c r="F12" s="9">
        <f>IF(ROUND($B$45,0)=0,1,$B$44+(1-$B$44)*MIN(1,(E12-1)/ROUND($B$45,0)))</f>
        <v>0.7666666666666666</v>
      </c>
      <c r="G12" s="10">
        <f>ROUND((($B$24+$B$26)*$B$6*$B$10+($B$25+$B$27)*$B$6*$B$11)*F12*$B$72,0)</f>
        <v>663</v>
      </c>
      <c r="H12" s="7">
        <f>ROUND(G12*(1-$B$28)*$B$9+$B$29*F12,0)</f>
        <v>663000</v>
      </c>
      <c r="I12" s="7">
        <f>ROUND(IF($B$50="через отток",(IF($B$47&gt;0,G12/$B$47,0)*$B$48+IF($B$47&gt;0,MAX(0,G12/$B$47-G11/$B$47),0))*$B$49,$B$46),0)</f>
        <v>50000</v>
      </c>
      <c r="J12" s="7">
        <f>ROUND(H12*$B$39,0)</f>
        <v>13260</v>
      </c>
      <c r="K12" s="7">
        <f>ROUND(IF($B$41="УСН 15%",MAX(H12*0.01,(H12-($B$82+I12+J12))*0.15),IF($B$41="УСН 6%",H12*0.06,H12*$B$40)),0)</f>
        <v>39780</v>
      </c>
      <c r="L12" s="7">
        <f>H12-$B$82-I12-J12-K12</f>
        <v>82965</v>
      </c>
      <c r="M12" s="7">
        <f>M11+L12</f>
        <v>-6415875</v>
      </c>
      <c r="N12" s="10">
        <f>IF(M12&gt;=0,E12,999)</f>
        <v>999</v>
      </c>
      <c r="O12" s="10">
        <f>IF(L12&gt;0,E12,999)</f>
        <v>5</v>
      </c>
    </row>
    <row r="13" spans="1:15" x14ac:dyDescent="0.25">
      <c r="A13" s="4" t="s">
        <v>44</v>
      </c>
      <c r="B13" s="4"/>
      <c r="C13" s="4"/>
      <c r="E13">
        <v>6</v>
      </c>
      <c r="F13" s="9">
        <f>IF(ROUND($B$45,0)=0,1,$B$44+(1-$B$44)*MIN(1,(E13-1)/ROUND($B$45,0)))</f>
        <v>0.8833333333333333</v>
      </c>
      <c r="G13" s="10">
        <f>ROUND((($B$24+$B$26)*$B$6*$B$10+($B$25+$B$27)*$B$6*$B$11)*F13*$B$72,0)</f>
        <v>764</v>
      </c>
      <c r="H13" s="7">
        <f>ROUND(G13*(1-$B$28)*$B$9+$B$29*F13,0)</f>
        <v>764000</v>
      </c>
      <c r="I13" s="7">
        <f>ROUND(IF($B$50="через отток",(IF($B$47&gt;0,G13/$B$47,0)*$B$48+IF($B$47&gt;0,MAX(0,G13/$B$47-G12/$B$47),0))*$B$49,$B$46),0)</f>
        <v>50000</v>
      </c>
      <c r="J13" s="7">
        <f>ROUND(H13*$B$39,0)</f>
        <v>15280</v>
      </c>
      <c r="K13" s="7">
        <f>ROUND(IF($B$41="УСН 15%",MAX(H13*0.01,(H13-($B$82+I13+J13))*0.15),IF($B$41="УСН 6%",H13*0.06,H13*$B$40)),0)</f>
        <v>45840</v>
      </c>
      <c r="L13" s="7">
        <f>H13-$B$82-I13-J13-K13</f>
        <v>175885</v>
      </c>
      <c r="M13" s="7">
        <f>M12+L13</f>
        <v>-6239990</v>
      </c>
      <c r="N13" s="10">
        <f>IF(M13&gt;=0,E13,999)</f>
        <v>999</v>
      </c>
      <c r="O13" s="10">
        <f>IF(L13&gt;0,E13,999)</f>
        <v>6</v>
      </c>
    </row>
    <row r="14" spans="1:15" x14ac:dyDescent="0.25">
      <c r="A14" t="s">
        <v>45</v>
      </c>
      <c r="B14" s="8">
        <v>150000</v>
      </c>
      <c r="E14">
        <v>7</v>
      </c>
      <c r="F14" s="9">
        <f>IF(ROUND($B$45,0)=0,1,$B$44+(1-$B$44)*MIN(1,(E14-1)/ROUND($B$45,0)))</f>
        <v>1</v>
      </c>
      <c r="G14" s="10">
        <f>ROUND((($B$24+$B$26)*$B$6*$B$10+($B$25+$B$27)*$B$6*$B$11)*F14*$B$72,0)</f>
        <v>864</v>
      </c>
      <c r="H14" s="7">
        <f>ROUND(G14*(1-$B$28)*$B$9+$B$29*F14,0)</f>
        <v>864000</v>
      </c>
      <c r="I14" s="7">
        <f>ROUND(IF($B$50="через отток",(IF($B$47&gt;0,G14/$B$47,0)*$B$48+IF($B$47&gt;0,MAX(0,G14/$B$47-G13/$B$47),0))*$B$49,$B$46),0)</f>
        <v>50000</v>
      </c>
      <c r="J14" s="7">
        <f>ROUND(H14*$B$39,0)</f>
        <v>17280</v>
      </c>
      <c r="K14" s="7">
        <f>ROUND(IF($B$41="УСН 15%",MAX(H14*0.01,(H14-($B$82+I14+J14))*0.15),IF($B$41="УСН 6%",H14*0.06,H14*$B$40)),0)</f>
        <v>51840</v>
      </c>
      <c r="L14" s="7">
        <f>H14-$B$82-I14-J14-K14</f>
        <v>267885</v>
      </c>
      <c r="M14" s="7">
        <f>M13+L14</f>
        <v>-5972105</v>
      </c>
      <c r="N14" s="10">
        <f>IF(M14&gt;=0,E14,999)</f>
        <v>999</v>
      </c>
      <c r="O14" s="10">
        <f>IF(L14&gt;0,E14,999)</f>
        <v>7</v>
      </c>
    </row>
    <row r="15" spans="1:15" x14ac:dyDescent="0.25">
      <c r="A15" t="s">
        <v>46</v>
      </c>
      <c r="B15" s="8">
        <v>15000</v>
      </c>
      <c r="C15" s="6" t="s">
        <v>47</v>
      </c>
      <c r="E15">
        <v>8</v>
      </c>
      <c r="F15" s="9">
        <f>IF(ROUND($B$45,0)=0,1,$B$44+(1-$B$44)*MIN(1,(E15-1)/ROUND($B$45,0)))</f>
        <v>1</v>
      </c>
      <c r="G15" s="10">
        <f>ROUND((($B$24+$B$26)*$B$6*$B$10+($B$25+$B$27)*$B$6*$B$11)*F15*$B$72,0)</f>
        <v>864</v>
      </c>
      <c r="H15" s="7">
        <f>ROUND(G15*(1-$B$28)*$B$9+$B$29*F15,0)</f>
        <v>864000</v>
      </c>
      <c r="I15" s="7">
        <f>ROUND(IF($B$50="через отток",(IF($B$47&gt;0,G15/$B$47,0)*$B$48+IF($B$47&gt;0,MAX(0,G15/$B$47-G14/$B$47),0))*$B$49,$B$46),0)</f>
        <v>50000</v>
      </c>
      <c r="J15" s="7">
        <f>ROUND(H15*$B$39,0)</f>
        <v>17280</v>
      </c>
      <c r="K15" s="7">
        <f>ROUND(IF($B$41="УСН 15%",MAX(H15*0.01,(H15-($B$82+I15+J15))*0.15),IF($B$41="УСН 6%",H15*0.06,H15*$B$40)),0)</f>
        <v>51840</v>
      </c>
      <c r="L15" s="7">
        <f>H15-$B$82-I15-J15-K15</f>
        <v>267885</v>
      </c>
      <c r="M15" s="7">
        <f>M14+L15</f>
        <v>-5704220</v>
      </c>
      <c r="N15" s="10">
        <f>IF(M15&gt;=0,E15,999)</f>
        <v>999</v>
      </c>
      <c r="O15" s="10">
        <f>IF(L15&gt;0,E15,999)</f>
        <v>8</v>
      </c>
    </row>
    <row r="16" spans="1:15" x14ac:dyDescent="0.25">
      <c r="A16" t="s">
        <v>48</v>
      </c>
      <c r="B16" s="8">
        <v>500000</v>
      </c>
      <c r="C16" s="6" t="s">
        <v>49</v>
      </c>
      <c r="E16">
        <v>9</v>
      </c>
      <c r="F16" s="9">
        <f>IF(ROUND($B$45,0)=0,1,$B$44+(1-$B$44)*MIN(1,(E16-1)/ROUND($B$45,0)))</f>
        <v>1</v>
      </c>
      <c r="G16" s="10">
        <f>ROUND((($B$24+$B$26)*$B$6*$B$10+($B$25+$B$27)*$B$6*$B$11)*F16*$B$72,0)</f>
        <v>864</v>
      </c>
      <c r="H16" s="7">
        <f>ROUND(G16*(1-$B$28)*$B$9+$B$29*F16,0)</f>
        <v>864000</v>
      </c>
      <c r="I16" s="7">
        <f>ROUND(IF($B$50="через отток",(IF($B$47&gt;0,G16/$B$47,0)*$B$48+IF($B$47&gt;0,MAX(0,G16/$B$47-G15/$B$47),0))*$B$49,$B$46),0)</f>
        <v>50000</v>
      </c>
      <c r="J16" s="7">
        <f>ROUND(H16*$B$39,0)</f>
        <v>17280</v>
      </c>
      <c r="K16" s="7">
        <f>ROUND(IF($B$41="УСН 15%",MAX(H16*0.01,(H16-($B$82+I16+J16))*0.15),IF($B$41="УСН 6%",H16*0.06,H16*$B$40)),0)</f>
        <v>51840</v>
      </c>
      <c r="L16" s="7">
        <f>H16-$B$82-I16-J16-K16</f>
        <v>267885</v>
      </c>
      <c r="M16" s="7">
        <f>M15+L16</f>
        <v>-5436335</v>
      </c>
      <c r="N16" s="10">
        <f>IF(M16&gt;=0,E16,999)</f>
        <v>999</v>
      </c>
      <c r="O16" s="10">
        <f>IF(L16&gt;0,E16,999)</f>
        <v>9</v>
      </c>
    </row>
    <row r="17" spans="1:15" x14ac:dyDescent="0.25">
      <c r="A17" t="s">
        <v>50</v>
      </c>
      <c r="B17" s="8">
        <v>600000</v>
      </c>
      <c r="C17" s="6" t="s">
        <v>51</v>
      </c>
      <c r="E17">
        <v>10</v>
      </c>
      <c r="F17" s="9">
        <f>IF(ROUND($B$45,0)=0,1,$B$44+(1-$B$44)*MIN(1,(E17-1)/ROUND($B$45,0)))</f>
        <v>1</v>
      </c>
      <c r="G17" s="10">
        <f>ROUND((($B$24+$B$26)*$B$6*$B$10+($B$25+$B$27)*$B$6*$B$11)*F17*$B$72,0)</f>
        <v>864</v>
      </c>
      <c r="H17" s="7">
        <f>ROUND(G17*(1-$B$28)*$B$9+$B$29*F17,0)</f>
        <v>864000</v>
      </c>
      <c r="I17" s="7">
        <f>ROUND(IF($B$50="через отток",(IF($B$47&gt;0,G17/$B$47,0)*$B$48+IF($B$47&gt;0,MAX(0,G17/$B$47-G16/$B$47),0))*$B$49,$B$46),0)</f>
        <v>50000</v>
      </c>
      <c r="J17" s="7">
        <f>ROUND(H17*$B$39,0)</f>
        <v>17280</v>
      </c>
      <c r="K17" s="7">
        <f>ROUND(IF($B$41="УСН 15%",MAX(H17*0.01,(H17-($B$82+I17+J17))*0.15),IF($B$41="УСН 6%",H17*0.06,H17*$B$40)),0)</f>
        <v>51840</v>
      </c>
      <c r="L17" s="7">
        <f>H17-$B$82-I17-J17-K17</f>
        <v>267885</v>
      </c>
      <c r="M17" s="7">
        <f>M16+L17</f>
        <v>-5168450</v>
      </c>
      <c r="N17" s="10">
        <f>IF(M17&gt;=0,E17,999)</f>
        <v>999</v>
      </c>
      <c r="O17" s="10">
        <f>IF(L17&gt;0,E17,999)</f>
        <v>10</v>
      </c>
    </row>
    <row r="18" spans="1:15" x14ac:dyDescent="0.25">
      <c r="A18" t="s">
        <v>52</v>
      </c>
      <c r="B18" s="5">
        <v>2</v>
      </c>
      <c r="C18" s="6" t="s">
        <v>53</v>
      </c>
      <c r="E18">
        <v>11</v>
      </c>
      <c r="F18" s="9">
        <f>IF(ROUND($B$45,0)=0,1,$B$44+(1-$B$44)*MIN(1,(E18-1)/ROUND($B$45,0)))</f>
        <v>1</v>
      </c>
      <c r="G18" s="10">
        <f>ROUND((($B$24+$B$26)*$B$6*$B$10+($B$25+$B$27)*$B$6*$B$11)*F18*$B$72,0)</f>
        <v>864</v>
      </c>
      <c r="H18" s="7">
        <f>ROUND(G18*(1-$B$28)*$B$9+$B$29*F18,0)</f>
        <v>864000</v>
      </c>
      <c r="I18" s="7">
        <f>ROUND(IF($B$50="через отток",(IF($B$47&gt;0,G18/$B$47,0)*$B$48+IF($B$47&gt;0,MAX(0,G18/$B$47-G17/$B$47),0))*$B$49,$B$46),0)</f>
        <v>50000</v>
      </c>
      <c r="J18" s="7">
        <f>ROUND(H18*$B$39,0)</f>
        <v>17280</v>
      </c>
      <c r="K18" s="7">
        <f>ROUND(IF($B$41="УСН 15%",MAX(H18*0.01,(H18-($B$82+I18+J18))*0.15),IF($B$41="УСН 6%",H18*0.06,H18*$B$40)),0)</f>
        <v>51840</v>
      </c>
      <c r="L18" s="7">
        <f>H18-$B$82-I18-J18-K18</f>
        <v>267885</v>
      </c>
      <c r="M18" s="7">
        <f>M17+L18</f>
        <v>-4900565</v>
      </c>
      <c r="N18" s="10">
        <f>IF(M18&gt;=0,E18,999)</f>
        <v>999</v>
      </c>
      <c r="O18" s="10">
        <f>IF(L18&gt;0,E18,999)</f>
        <v>11</v>
      </c>
    </row>
    <row r="19" spans="1:15" x14ac:dyDescent="0.25">
      <c r="A19" t="s">
        <v>54</v>
      </c>
      <c r="B19" s="8">
        <v>250000</v>
      </c>
      <c r="C19" s="6" t="s">
        <v>55</v>
      </c>
      <c r="E19">
        <v>12</v>
      </c>
      <c r="F19" s="9">
        <f>IF(ROUND($B$45,0)=0,1,$B$44+(1-$B$44)*MIN(1,(E19-1)/ROUND($B$45,0)))</f>
        <v>1</v>
      </c>
      <c r="G19" s="10">
        <f>ROUND((($B$24+$B$26)*$B$6*$B$10+($B$25+$B$27)*$B$6*$B$11)*F19*$B$72,0)</f>
        <v>864</v>
      </c>
      <c r="H19" s="7">
        <f>ROUND(G19*(1-$B$28)*$B$9+$B$29*F19,0)</f>
        <v>864000</v>
      </c>
      <c r="I19" s="7">
        <f>ROUND(IF($B$50="через отток",(IF($B$47&gt;0,G19/$B$47,0)*$B$48+IF($B$47&gt;0,MAX(0,G19/$B$47-G18/$B$47),0))*$B$49,$B$46),0)</f>
        <v>50000</v>
      </c>
      <c r="J19" s="7">
        <f>ROUND(H19*$B$39,0)</f>
        <v>17280</v>
      </c>
      <c r="K19" s="7">
        <f>ROUND(IF($B$41="УСН 15%",MAX(H19*0.01,(H19-($B$82+I19+J19))*0.15),IF($B$41="УСН 6%",H19*0.06,H19*$B$40)),0)</f>
        <v>51840</v>
      </c>
      <c r="L19" s="7">
        <f>H19-$B$82-I19-J19-K19</f>
        <v>267885</v>
      </c>
      <c r="M19" s="7">
        <f>M18+L19</f>
        <v>-4632680</v>
      </c>
      <c r="N19" s="10">
        <f>IF(M19&gt;=0,E19,999)</f>
        <v>999</v>
      </c>
      <c r="O19" s="10">
        <f>IF(L19&gt;0,E19,999)</f>
        <v>12</v>
      </c>
    </row>
    <row r="20" spans="1:15" x14ac:dyDescent="0.25">
      <c r="A20" t="s">
        <v>56</v>
      </c>
      <c r="B20" s="11">
        <v>0.1</v>
      </c>
      <c r="C20" s="6" t="s">
        <v>57</v>
      </c>
      <c r="E20">
        <v>13</v>
      </c>
      <c r="F20" s="9">
        <f>IF(ROUND($B$45,0)=0,1,$B$44+(1-$B$44)*MIN(1,(E20-1)/ROUND($B$45,0)))</f>
        <v>1</v>
      </c>
      <c r="G20" s="10">
        <f>ROUND((($B$24+$B$26)*$B$6*$B$10+($B$25+$B$27)*$B$6*$B$11)*F20*$B$72,0)</f>
        <v>864</v>
      </c>
      <c r="H20" s="7">
        <f>ROUND(G20*(1-$B$28)*$B$9+$B$29*F20,0)</f>
        <v>864000</v>
      </c>
      <c r="I20" s="7">
        <f>ROUND(IF($B$50="через отток",(IF($B$47&gt;0,G20/$B$47,0)*$B$48+IF($B$47&gt;0,MAX(0,G20/$B$47-G19/$B$47),0))*$B$49,$B$46),0)</f>
        <v>50000</v>
      </c>
      <c r="J20" s="7">
        <f>ROUND(H20*$B$39,0)</f>
        <v>17280</v>
      </c>
      <c r="K20" s="7">
        <f>ROUND(IF($B$41="УСН 15%",MAX(H20*0.01,(H20-($B$82+I20+J20))*0.15),IF($B$41="УСН 6%",H20*0.06,H20*$B$40)),0)</f>
        <v>51840</v>
      </c>
      <c r="L20" s="7">
        <f>H20-$B$82-I20-J20-K20</f>
        <v>267885</v>
      </c>
      <c r="M20" s="7">
        <f>M19+L20</f>
        <v>-4364795</v>
      </c>
      <c r="N20" s="10">
        <f>IF(M20&gt;=0,E20,999)</f>
        <v>999</v>
      </c>
      <c r="O20" s="10">
        <f>IF(L20&gt;0,E20,999)</f>
        <v>13</v>
      </c>
    </row>
    <row r="21" spans="1:15" x14ac:dyDescent="0.25">
      <c r="A21" t="s">
        <v>58</v>
      </c>
      <c r="B21" s="8">
        <v>115000</v>
      </c>
      <c r="C21" s="6" t="s">
        <v>59</v>
      </c>
      <c r="E21">
        <v>14</v>
      </c>
      <c r="F21" s="9">
        <f>IF(ROUND($B$45,0)=0,1,$B$44+(1-$B$44)*MIN(1,(E21-1)/ROUND($B$45,0)))</f>
        <v>1</v>
      </c>
      <c r="G21" s="10">
        <f>ROUND((($B$24+$B$26)*$B$6*$B$10+($B$25+$B$27)*$B$6*$B$11)*F21*$B$72,0)</f>
        <v>864</v>
      </c>
      <c r="H21" s="7">
        <f>ROUND(G21*(1-$B$28)*$B$9+$B$29*F21,0)</f>
        <v>864000</v>
      </c>
      <c r="I21" s="7">
        <f>ROUND(IF($B$50="через отток",(IF($B$47&gt;0,G21/$B$47,0)*$B$48+IF($B$47&gt;0,MAX(0,G21/$B$47-G20/$B$47),0))*$B$49,$B$46),0)</f>
        <v>50000</v>
      </c>
      <c r="J21" s="7">
        <f>ROUND(H21*$B$39,0)</f>
        <v>17280</v>
      </c>
      <c r="K21" s="7">
        <f>ROUND(IF($B$41="УСН 15%",MAX(H21*0.01,(H21-($B$82+I21+J21))*0.15),IF($B$41="УСН 6%",H21*0.06,H21*$B$40)),0)</f>
        <v>51840</v>
      </c>
      <c r="L21" s="7">
        <f>H21-$B$82-I21-J21-K21</f>
        <v>267885</v>
      </c>
      <c r="M21" s="7">
        <f>M20+L21</f>
        <v>-4096910</v>
      </c>
      <c r="N21" s="10">
        <f>IF(M21&gt;=0,E21,999)</f>
        <v>999</v>
      </c>
      <c r="O21" s="10">
        <f>IF(L21&gt;0,E21,999)</f>
        <v>14</v>
      </c>
    </row>
    <row r="22" spans="5:15" x14ac:dyDescent="0.25">
      <c r="E22">
        <v>15</v>
      </c>
      <c r="F22" s="9">
        <f>IF(ROUND($B$45,0)=0,1,$B$44+(1-$B$44)*MIN(1,(E22-1)/ROUND($B$45,0)))</f>
        <v>1</v>
      </c>
      <c r="G22" s="10">
        <f>ROUND((($B$24+$B$26)*$B$6*$B$10+($B$25+$B$27)*$B$6*$B$11)*F22*$B$72,0)</f>
        <v>864</v>
      </c>
      <c r="H22" s="7">
        <f>ROUND(G22*(1-$B$28)*$B$9+$B$29*F22,0)</f>
        <v>864000</v>
      </c>
      <c r="I22" s="7">
        <f>ROUND(IF($B$50="через отток",(IF($B$47&gt;0,G22/$B$47,0)*$B$48+IF($B$47&gt;0,MAX(0,G22/$B$47-G21/$B$47),0))*$B$49,$B$46),0)</f>
        <v>50000</v>
      </c>
      <c r="J22" s="7">
        <f>ROUND(H22*$B$39,0)</f>
        <v>17280</v>
      </c>
      <c r="K22" s="7">
        <f>ROUND(IF($B$41="УСН 15%",MAX(H22*0.01,(H22-($B$82+I22+J22))*0.15),IF($B$41="УСН 6%",H22*0.06,H22*$B$40)),0)</f>
        <v>51840</v>
      </c>
      <c r="L22" s="7">
        <f>H22-$B$82-I22-J22-K22</f>
        <v>267885</v>
      </c>
      <c r="M22" s="7">
        <f>M21+L22</f>
        <v>-3829025</v>
      </c>
      <c r="N22" s="10">
        <f>IF(M22&gt;=0,E22,999)</f>
        <v>999</v>
      </c>
      <c r="O22" s="10">
        <f>IF(L22&gt;0,E22,999)</f>
        <v>15</v>
      </c>
    </row>
    <row r="23" spans="1:15" x14ac:dyDescent="0.25">
      <c r="A23" s="4" t="s">
        <v>60</v>
      </c>
      <c r="B23" s="4"/>
      <c r="C23" s="4"/>
      <c r="E23">
        <v>16</v>
      </c>
      <c r="F23" s="9">
        <f>IF(ROUND($B$45,0)=0,1,$B$44+(1-$B$44)*MIN(1,(E23-1)/ROUND($B$45,0)))</f>
        <v>1</v>
      </c>
      <c r="G23" s="10">
        <f>ROUND((($B$24+$B$26)*$B$6*$B$10+($B$25+$B$27)*$B$6*$B$11)*F23*$B$72,0)</f>
        <v>864</v>
      </c>
      <c r="H23" s="7">
        <f>ROUND(G23*(1-$B$28)*$B$9+$B$29*F23,0)</f>
        <v>864000</v>
      </c>
      <c r="I23" s="7">
        <f>ROUND(IF($B$50="через отток",(IF($B$47&gt;0,G23/$B$47,0)*$B$48+IF($B$47&gt;0,MAX(0,G23/$B$47-G22/$B$47),0))*$B$49,$B$46),0)</f>
        <v>50000</v>
      </c>
      <c r="J23" s="7">
        <f>ROUND(H23*$B$39,0)</f>
        <v>17280</v>
      </c>
      <c r="K23" s="7">
        <f>ROUND(IF($B$41="УСН 15%",MAX(H23*0.01,(H23-($B$82+I23+J23))*0.15),IF($B$41="УСН 6%",H23*0.06,H23*$B$40)),0)</f>
        <v>51840</v>
      </c>
      <c r="L23" s="7">
        <f>H23-$B$82-I23-J23-K23</f>
        <v>267885</v>
      </c>
      <c r="M23" s="7">
        <f>M22+L23</f>
        <v>-3561140</v>
      </c>
      <c r="N23" s="10">
        <f>IF(M23&gt;=0,E23,999)</f>
        <v>999</v>
      </c>
      <c r="O23" s="10">
        <f>IF(L23&gt;0,E23,999)</f>
        <v>16</v>
      </c>
    </row>
    <row r="24" spans="1:15" x14ac:dyDescent="0.25">
      <c r="A24" t="s">
        <v>61</v>
      </c>
      <c r="B24" s="5">
        <v>14</v>
      </c>
      <c r="C24" s="6" t="s">
        <v>62</v>
      </c>
      <c r="E24">
        <v>17</v>
      </c>
      <c r="F24" s="9">
        <f>IF(ROUND($B$45,0)=0,1,$B$44+(1-$B$44)*MIN(1,(E24-1)/ROUND($B$45,0)))</f>
        <v>1</v>
      </c>
      <c r="G24" s="10">
        <f>ROUND((($B$24+$B$26)*$B$6*$B$10+($B$25+$B$27)*$B$6*$B$11)*F24*$B$72,0)</f>
        <v>864</v>
      </c>
      <c r="H24" s="7">
        <f>ROUND(G24*(1-$B$28)*$B$9+$B$29*F24,0)</f>
        <v>864000</v>
      </c>
      <c r="I24" s="7">
        <f>ROUND(IF($B$50="через отток",(IF($B$47&gt;0,G24/$B$47,0)*$B$48+IF($B$47&gt;0,MAX(0,G24/$B$47-G23/$B$47),0))*$B$49,$B$46),0)</f>
        <v>50000</v>
      </c>
      <c r="J24" s="7">
        <f>ROUND(H24*$B$39,0)</f>
        <v>17280</v>
      </c>
      <c r="K24" s="7">
        <f>ROUND(IF($B$41="УСН 15%",MAX(H24*0.01,(H24-($B$82+I24+J24))*0.15),IF($B$41="УСН 6%",H24*0.06,H24*$B$40)),0)</f>
        <v>51840</v>
      </c>
      <c r="L24" s="7">
        <f>H24-$B$82-I24-J24-K24</f>
        <v>267885</v>
      </c>
      <c r="M24" s="7">
        <f>M23+L24</f>
        <v>-3293255</v>
      </c>
      <c r="N24" s="10">
        <f>IF(M24&gt;=0,E24,999)</f>
        <v>999</v>
      </c>
      <c r="O24" s="10">
        <f>IF(L24&gt;0,E24,999)</f>
        <v>17</v>
      </c>
    </row>
    <row r="25" spans="1:15" x14ac:dyDescent="0.25">
      <c r="A25" t="s">
        <v>63</v>
      </c>
      <c r="B25" s="5">
        <v>4</v>
      </c>
      <c r="C25" s="6" t="s">
        <v>62</v>
      </c>
      <c r="E25">
        <v>18</v>
      </c>
      <c r="F25" s="9">
        <f>IF(ROUND($B$45,0)=0,1,$B$44+(1-$B$44)*MIN(1,(E25-1)/ROUND($B$45,0)))</f>
        <v>1</v>
      </c>
      <c r="G25" s="10">
        <f>ROUND((($B$24+$B$26)*$B$6*$B$10+($B$25+$B$27)*$B$6*$B$11)*F25*$B$72,0)</f>
        <v>864</v>
      </c>
      <c r="H25" s="7">
        <f>ROUND(G25*(1-$B$28)*$B$9+$B$29*F25,0)</f>
        <v>864000</v>
      </c>
      <c r="I25" s="7">
        <f>ROUND(IF($B$50="через отток",(IF($B$47&gt;0,G25/$B$47,0)*$B$48+IF($B$47&gt;0,MAX(0,G25/$B$47-G24/$B$47),0))*$B$49,$B$46),0)</f>
        <v>50000</v>
      </c>
      <c r="J25" s="7">
        <f>ROUND(H25*$B$39,0)</f>
        <v>17280</v>
      </c>
      <c r="K25" s="7">
        <f>ROUND(IF($B$41="УСН 15%",MAX(H25*0.01,(H25-($B$82+I25+J25))*0.15),IF($B$41="УСН 6%",H25*0.06,H25*$B$40)),0)</f>
        <v>51840</v>
      </c>
      <c r="L25" s="7">
        <f>H25-$B$82-I25-J25-K25</f>
        <v>267885</v>
      </c>
      <c r="M25" s="7">
        <f>M24+L25</f>
        <v>-3025370</v>
      </c>
      <c r="N25" s="10">
        <f>IF(M25&gt;=0,E25,999)</f>
        <v>999</v>
      </c>
      <c r="O25" s="10">
        <f>IF(L25&gt;0,E25,999)</f>
        <v>18</v>
      </c>
    </row>
    <row r="26" spans="1:15" x14ac:dyDescent="0.25">
      <c r="A26" t="s">
        <v>64</v>
      </c>
      <c r="B26" s="5">
        <v>0</v>
      </c>
      <c r="C26" s="6" t="s">
        <v>62</v>
      </c>
      <c r="E26">
        <v>19</v>
      </c>
      <c r="F26" s="9">
        <f>IF(ROUND($B$45,0)=0,1,$B$44+(1-$B$44)*MIN(1,(E26-1)/ROUND($B$45,0)))</f>
        <v>1</v>
      </c>
      <c r="G26" s="10">
        <f>ROUND((($B$24+$B$26)*$B$6*$B$10+($B$25+$B$27)*$B$6*$B$11)*F26*$B$72,0)</f>
        <v>864</v>
      </c>
      <c r="H26" s="7">
        <f>ROUND(G26*(1-$B$28)*$B$9+$B$29*F26,0)</f>
        <v>864000</v>
      </c>
      <c r="I26" s="7">
        <f>ROUND(IF($B$50="через отток",(IF($B$47&gt;0,G26/$B$47,0)*$B$48+IF($B$47&gt;0,MAX(0,G26/$B$47-G25/$B$47),0))*$B$49,$B$46),0)</f>
        <v>50000</v>
      </c>
      <c r="J26" s="7">
        <f>ROUND(H26*$B$39,0)</f>
        <v>17280</v>
      </c>
      <c r="K26" s="7">
        <f>ROUND(IF($B$41="УСН 15%",MAX(H26*0.01,(H26-($B$82+I26+J26))*0.15),IF($B$41="УСН 6%",H26*0.06,H26*$B$40)),0)</f>
        <v>51840</v>
      </c>
      <c r="L26" s="7">
        <f>H26-$B$82-I26-J26-K26</f>
        <v>267885</v>
      </c>
      <c r="M26" s="7">
        <f>M25+L26</f>
        <v>-2757485</v>
      </c>
      <c r="N26" s="10">
        <f>IF(M26&gt;=0,E26,999)</f>
        <v>999</v>
      </c>
      <c r="O26" s="10">
        <f>IF(L26&gt;0,E26,999)</f>
        <v>19</v>
      </c>
    </row>
    <row r="27" spans="1:15" x14ac:dyDescent="0.25">
      <c r="A27" t="s">
        <v>65</v>
      </c>
      <c r="B27" s="5">
        <v>10</v>
      </c>
      <c r="C27" s="6" t="s">
        <v>66</v>
      </c>
      <c r="E27">
        <v>20</v>
      </c>
      <c r="F27" s="9">
        <f>IF(ROUND($B$45,0)=0,1,$B$44+(1-$B$44)*MIN(1,(E27-1)/ROUND($B$45,0)))</f>
        <v>1</v>
      </c>
      <c r="G27" s="10">
        <f>ROUND((($B$24+$B$26)*$B$6*$B$10+($B$25+$B$27)*$B$6*$B$11)*F27*$B$72,0)</f>
        <v>864</v>
      </c>
      <c r="H27" s="7">
        <f>ROUND(G27*(1-$B$28)*$B$9+$B$29*F27,0)</f>
        <v>864000</v>
      </c>
      <c r="I27" s="7">
        <f>ROUND(IF($B$50="через отток",(IF($B$47&gt;0,G27/$B$47,0)*$B$48+IF($B$47&gt;0,MAX(0,G27/$B$47-G26/$B$47),0))*$B$49,$B$46),0)</f>
        <v>50000</v>
      </c>
      <c r="J27" s="7">
        <f>ROUND(H27*$B$39,0)</f>
        <v>17280</v>
      </c>
      <c r="K27" s="7">
        <f>ROUND(IF($B$41="УСН 15%",MAX(H27*0.01,(H27-($B$82+I27+J27))*0.15),IF($B$41="УСН 6%",H27*0.06,H27*$B$40)),0)</f>
        <v>51840</v>
      </c>
      <c r="L27" s="7">
        <f>H27-$B$82-I27-J27-K27</f>
        <v>267885</v>
      </c>
      <c r="M27" s="7">
        <f>M26+L27</f>
        <v>-2489600</v>
      </c>
      <c r="N27" s="10">
        <f>IF(M27&gt;=0,E27,999)</f>
        <v>999</v>
      </c>
      <c r="O27" s="10">
        <f>IF(L27&gt;0,E27,999)</f>
        <v>20</v>
      </c>
    </row>
    <row r="28" spans="1:15" x14ac:dyDescent="0.25">
      <c r="A28" t="s">
        <v>67</v>
      </c>
      <c r="B28" s="11">
        <v>0</v>
      </c>
      <c r="C28" s="6" t="s">
        <v>68</v>
      </c>
      <c r="E28">
        <v>21</v>
      </c>
      <c r="F28" s="9">
        <f>IF(ROUND($B$45,0)=0,1,$B$44+(1-$B$44)*MIN(1,(E28-1)/ROUND($B$45,0)))</f>
        <v>1</v>
      </c>
      <c r="G28" s="10">
        <f>ROUND((($B$24+$B$26)*$B$6*$B$10+($B$25+$B$27)*$B$6*$B$11)*F28*$B$72,0)</f>
        <v>864</v>
      </c>
      <c r="H28" s="7">
        <f>ROUND(G28*(1-$B$28)*$B$9+$B$29*F28,0)</f>
        <v>864000</v>
      </c>
      <c r="I28" s="7">
        <f>ROUND(IF($B$50="через отток",(IF($B$47&gt;0,G28/$B$47,0)*$B$48+IF($B$47&gt;0,MAX(0,G28/$B$47-G27/$B$47),0))*$B$49,$B$46),0)</f>
        <v>50000</v>
      </c>
      <c r="J28" s="7">
        <f>ROUND(H28*$B$39,0)</f>
        <v>17280</v>
      </c>
      <c r="K28" s="7">
        <f>ROUND(IF($B$41="УСН 15%",MAX(H28*0.01,(H28-($B$82+I28+J28))*0.15),IF($B$41="УСН 6%",H28*0.06,H28*$B$40)),0)</f>
        <v>51840</v>
      </c>
      <c r="L28" s="7">
        <f>H28-$B$82-I28-J28-K28</f>
        <v>267885</v>
      </c>
      <c r="M28" s="7">
        <f>M27+L28</f>
        <v>-2221715</v>
      </c>
      <c r="N28" s="10">
        <f>IF(M28&gt;=0,E28,999)</f>
        <v>999</v>
      </c>
      <c r="O28" s="10">
        <f>IF(L28&gt;0,E28,999)</f>
        <v>21</v>
      </c>
    </row>
    <row r="29" spans="1:15" x14ac:dyDescent="0.25">
      <c r="A29" t="s">
        <v>69</v>
      </c>
      <c r="B29" s="8">
        <v>0</v>
      </c>
      <c r="C29" s="6" t="s">
        <v>70</v>
      </c>
      <c r="E29">
        <v>22</v>
      </c>
      <c r="F29" s="9">
        <f>IF(ROUND($B$45,0)=0,1,$B$44+(1-$B$44)*MIN(1,(E29-1)/ROUND($B$45,0)))</f>
        <v>1</v>
      </c>
      <c r="G29" s="10">
        <f>ROUND((($B$24+$B$26)*$B$6*$B$10+($B$25+$B$27)*$B$6*$B$11)*F29*$B$72,0)</f>
        <v>864</v>
      </c>
      <c r="H29" s="7">
        <f>ROUND(G29*(1-$B$28)*$B$9+$B$29*F29,0)</f>
        <v>864000</v>
      </c>
      <c r="I29" s="7">
        <f>ROUND(IF($B$50="через отток",(IF($B$47&gt;0,G29/$B$47,0)*$B$48+IF($B$47&gt;0,MAX(0,G29/$B$47-G28/$B$47),0))*$B$49,$B$46),0)</f>
        <v>50000</v>
      </c>
      <c r="J29" s="7">
        <f>ROUND(H29*$B$39,0)</f>
        <v>17280</v>
      </c>
      <c r="K29" s="7">
        <f>ROUND(IF($B$41="УСН 15%",MAX(H29*0.01,(H29-($B$82+I29+J29))*0.15),IF($B$41="УСН 6%",H29*0.06,H29*$B$40)),0)</f>
        <v>51840</v>
      </c>
      <c r="L29" s="7">
        <f>H29-$B$82-I29-J29-K29</f>
        <v>267885</v>
      </c>
      <c r="M29" s="7">
        <f>M28+L29</f>
        <v>-1953830</v>
      </c>
      <c r="N29" s="10">
        <f>IF(M29&gt;=0,E29,999)</f>
        <v>999</v>
      </c>
      <c r="O29" s="10">
        <f>IF(L29&gt;0,E29,999)</f>
        <v>22</v>
      </c>
    </row>
    <row r="30" spans="5:15" x14ac:dyDescent="0.25">
      <c r="E30">
        <v>23</v>
      </c>
      <c r="F30" s="9">
        <f>IF(ROUND($B$45,0)=0,1,$B$44+(1-$B$44)*MIN(1,(E30-1)/ROUND($B$45,0)))</f>
        <v>1</v>
      </c>
      <c r="G30" s="10">
        <f>ROUND((($B$24+$B$26)*$B$6*$B$10+($B$25+$B$27)*$B$6*$B$11)*F30*$B$72,0)</f>
        <v>864</v>
      </c>
      <c r="H30" s="7">
        <f>ROUND(G30*(1-$B$28)*$B$9+$B$29*F30,0)</f>
        <v>864000</v>
      </c>
      <c r="I30" s="7">
        <f>ROUND(IF($B$50="через отток",(IF($B$47&gt;0,G30/$B$47,0)*$B$48+IF($B$47&gt;0,MAX(0,G30/$B$47-G29/$B$47),0))*$B$49,$B$46),0)</f>
        <v>50000</v>
      </c>
      <c r="J30" s="7">
        <f>ROUND(H30*$B$39,0)</f>
        <v>17280</v>
      </c>
      <c r="K30" s="7">
        <f>ROUND(IF($B$41="УСН 15%",MAX(H30*0.01,(H30-($B$82+I30+J30))*0.15),IF($B$41="УСН 6%",H30*0.06,H30*$B$40)),0)</f>
        <v>51840</v>
      </c>
      <c r="L30" s="7">
        <f>H30-$B$82-I30-J30-K30</f>
        <v>267885</v>
      </c>
      <c r="M30" s="7">
        <f>M29+L30</f>
        <v>-1685945</v>
      </c>
      <c r="N30" s="10">
        <f>IF(M30&gt;=0,E30,999)</f>
        <v>999</v>
      </c>
      <c r="O30" s="10">
        <f>IF(L30&gt;0,E30,999)</f>
        <v>23</v>
      </c>
    </row>
    <row r="31" spans="1:15" x14ac:dyDescent="0.25">
      <c r="A31" s="4" t="s">
        <v>71</v>
      </c>
      <c r="B31" s="4"/>
      <c r="C31" s="4"/>
      <c r="E31">
        <v>24</v>
      </c>
      <c r="F31" s="9">
        <f>IF(ROUND($B$45,0)=0,1,$B$44+(1-$B$44)*MIN(1,(E31-1)/ROUND($B$45,0)))</f>
        <v>1</v>
      </c>
      <c r="G31" s="10">
        <f>ROUND((($B$24+$B$26)*$B$6*$B$10+($B$25+$B$27)*$B$6*$B$11)*F31*$B$72,0)</f>
        <v>864</v>
      </c>
      <c r="H31" s="7">
        <f>ROUND(G31*(1-$B$28)*$B$9+$B$29*F31,0)</f>
        <v>864000</v>
      </c>
      <c r="I31" s="7">
        <f>ROUND(IF($B$50="через отток",(IF($B$47&gt;0,G31/$B$47,0)*$B$48+IF($B$47&gt;0,MAX(0,G31/$B$47-G30/$B$47),0))*$B$49,$B$46),0)</f>
        <v>50000</v>
      </c>
      <c r="J31" s="7">
        <f>ROUND(H31*$B$39,0)</f>
        <v>17280</v>
      </c>
      <c r="K31" s="7">
        <f>ROUND(IF($B$41="УСН 15%",MAX(H31*0.01,(H31-($B$82+I31+J31))*0.15),IF($B$41="УСН 6%",H31*0.06,H31*$B$40)),0)</f>
        <v>51840</v>
      </c>
      <c r="L31" s="7">
        <f>H31-$B$82-I31-J31-K31</f>
        <v>267885</v>
      </c>
      <c r="M31" s="7">
        <f>M30+L31</f>
        <v>-1418060</v>
      </c>
      <c r="N31" s="10">
        <f>IF(M31&gt;=0,E31,999)</f>
        <v>999</v>
      </c>
      <c r="O31" s="10">
        <f>IF(L31&gt;0,E31,999)</f>
        <v>24</v>
      </c>
    </row>
    <row r="32" spans="1:15" x14ac:dyDescent="0.25">
      <c r="A32" t="s">
        <v>72</v>
      </c>
      <c r="B32" s="8">
        <v>1500</v>
      </c>
      <c r="E32">
        <v>25</v>
      </c>
      <c r="F32" s="9">
        <f>IF(ROUND($B$45,0)=0,1,$B$44+(1-$B$44)*MIN(1,(E32-1)/ROUND($B$45,0)))</f>
        <v>1</v>
      </c>
      <c r="G32" s="10">
        <f>ROUND((($B$24+$B$26)*$B$6*$B$10+($B$25+$B$27)*$B$6*$B$11)*F32*$B$72,0)</f>
        <v>864</v>
      </c>
      <c r="H32" s="7">
        <f>ROUND(G32*(1-$B$28)*$B$9+$B$29*F32,0)</f>
        <v>864000</v>
      </c>
      <c r="I32" s="7">
        <f>ROUND(IF($B$50="через отток",(IF($B$47&gt;0,G32/$B$47,0)*$B$48+IF($B$47&gt;0,MAX(0,G32/$B$47-G31/$B$47),0))*$B$49,$B$46),0)</f>
        <v>50000</v>
      </c>
      <c r="J32" s="7">
        <f>ROUND(H32*$B$39,0)</f>
        <v>17280</v>
      </c>
      <c r="K32" s="7">
        <f>ROUND(IF($B$41="УСН 15%",MAX(H32*0.01,(H32-($B$82+I32+J32))*0.15),IF($B$41="УСН 6%",H32*0.06,H32*$B$40)),0)</f>
        <v>51840</v>
      </c>
      <c r="L32" s="7">
        <f>H32-$B$82-I32-J32-K32</f>
        <v>267885</v>
      </c>
      <c r="M32" s="7">
        <f>M31+L32</f>
        <v>-1150175</v>
      </c>
      <c r="N32" s="10">
        <f>IF(M32&gt;=0,E32,999)</f>
        <v>999</v>
      </c>
      <c r="O32" s="10">
        <f>IF(L32&gt;0,E32,999)</f>
        <v>25</v>
      </c>
    </row>
    <row r="33" spans="1:15" x14ac:dyDescent="0.25">
      <c r="A33" t="s">
        <v>73</v>
      </c>
      <c r="B33" s="8">
        <v>130000</v>
      </c>
      <c r="C33" s="6" t="s">
        <v>74</v>
      </c>
      <c r="E33">
        <v>26</v>
      </c>
      <c r="F33" s="9">
        <f>IF(ROUND($B$45,0)=0,1,$B$44+(1-$B$44)*MIN(1,(E33-1)/ROUND($B$45,0)))</f>
        <v>1</v>
      </c>
      <c r="G33" s="10">
        <f>ROUND((($B$24+$B$26)*$B$6*$B$10+($B$25+$B$27)*$B$6*$B$11)*F33*$B$72,0)</f>
        <v>864</v>
      </c>
      <c r="H33" s="7">
        <f>ROUND(G33*(1-$B$28)*$B$9+$B$29*F33,0)</f>
        <v>864000</v>
      </c>
      <c r="I33" s="7">
        <f>ROUND(IF($B$50="через отток",(IF($B$47&gt;0,G33/$B$47,0)*$B$48+IF($B$47&gt;0,MAX(0,G33/$B$47-G32/$B$47),0))*$B$49,$B$46),0)</f>
        <v>50000</v>
      </c>
      <c r="J33" s="7">
        <f>ROUND(H33*$B$39,0)</f>
        <v>17280</v>
      </c>
      <c r="K33" s="7">
        <f>ROUND(IF($B$41="УСН 15%",MAX(H33*0.01,(H33-($B$82+I33+J33))*0.15),IF($B$41="УСН 6%",H33*0.06,H33*$B$40)),0)</f>
        <v>51840</v>
      </c>
      <c r="L33" s="7">
        <f>H33-$B$82-I33-J33-K33</f>
        <v>267885</v>
      </c>
      <c r="M33" s="7">
        <f>M32+L33</f>
        <v>-882290</v>
      </c>
      <c r="N33" s="10">
        <f>IF(M33&gt;=0,E33,999)</f>
        <v>999</v>
      </c>
      <c r="O33" s="10">
        <f>IF(L33&gt;0,E33,999)</f>
        <v>26</v>
      </c>
    </row>
    <row r="34" spans="1:15" x14ac:dyDescent="0.25">
      <c r="A34" t="s">
        <v>75</v>
      </c>
      <c r="B34" s="8">
        <v>250</v>
      </c>
      <c r="C34" s="6" t="s">
        <v>76</v>
      </c>
      <c r="E34">
        <v>27</v>
      </c>
      <c r="F34" s="9">
        <f>IF(ROUND($B$45,0)=0,1,$B$44+(1-$B$44)*MIN(1,(E34-1)/ROUND($B$45,0)))</f>
        <v>1</v>
      </c>
      <c r="G34" s="10">
        <f>ROUND((($B$24+$B$26)*$B$6*$B$10+($B$25+$B$27)*$B$6*$B$11)*F34*$B$72,0)</f>
        <v>864</v>
      </c>
      <c r="H34" s="7">
        <f>ROUND(G34*(1-$B$28)*$B$9+$B$29*F34,0)</f>
        <v>864000</v>
      </c>
      <c r="I34" s="7">
        <f>ROUND(IF($B$50="через отток",(IF($B$47&gt;0,G34/$B$47,0)*$B$48+IF($B$47&gt;0,MAX(0,G34/$B$47-G33/$B$47),0))*$B$49,$B$46),0)</f>
        <v>50000</v>
      </c>
      <c r="J34" s="7">
        <f>ROUND(H34*$B$39,0)</f>
        <v>17280</v>
      </c>
      <c r="K34" s="7">
        <f>ROUND(IF($B$41="УСН 15%",MAX(H34*0.01,(H34-($B$82+I34+J34))*0.15),IF($B$41="УСН 6%",H34*0.06,H34*$B$40)),0)</f>
        <v>51840</v>
      </c>
      <c r="L34" s="7">
        <f>H34-$B$82-I34-J34-K34</f>
        <v>267885</v>
      </c>
      <c r="M34" s="7">
        <f>M33+L34</f>
        <v>-614405</v>
      </c>
      <c r="N34" s="10">
        <f>IF(M34&gt;=0,E34,999)</f>
        <v>999</v>
      </c>
      <c r="O34" s="10">
        <f>IF(L34&gt;0,E34,999)</f>
        <v>27</v>
      </c>
    </row>
    <row r="35" spans="1:15" x14ac:dyDescent="0.25">
      <c r="A35" t="s">
        <v>77</v>
      </c>
      <c r="B35" s="8">
        <v>25000</v>
      </c>
      <c r="C35" s="6" t="s">
        <v>78</v>
      </c>
      <c r="E35">
        <v>28</v>
      </c>
      <c r="F35" s="9">
        <f>IF(ROUND($B$45,0)=0,1,$B$44+(1-$B$44)*MIN(1,(E35-1)/ROUND($B$45,0)))</f>
        <v>1</v>
      </c>
      <c r="G35" s="10">
        <f>ROUND((($B$24+$B$26)*$B$6*$B$10+($B$25+$B$27)*$B$6*$B$11)*F35*$B$72,0)</f>
        <v>864</v>
      </c>
      <c r="H35" s="7">
        <f>ROUND(G35*(1-$B$28)*$B$9+$B$29*F35,0)</f>
        <v>864000</v>
      </c>
      <c r="I35" s="7">
        <f>ROUND(IF($B$50="через отток",(IF($B$47&gt;0,G35/$B$47,0)*$B$48+IF($B$47&gt;0,MAX(0,G35/$B$47-G34/$B$47),0))*$B$49,$B$46),0)</f>
        <v>50000</v>
      </c>
      <c r="J35" s="7">
        <f>ROUND(H35*$B$39,0)</f>
        <v>17280</v>
      </c>
      <c r="K35" s="7">
        <f>ROUND(IF($B$41="УСН 15%",MAX(H35*0.01,(H35-($B$82+I35+J35))*0.15),IF($B$41="УСН 6%",H35*0.06,H35*$B$40)),0)</f>
        <v>51840</v>
      </c>
      <c r="L35" s="7">
        <f>H35-$B$82-I35-J35-K35</f>
        <v>267885</v>
      </c>
      <c r="M35" s="7">
        <f>M34+L35</f>
        <v>-346520</v>
      </c>
      <c r="N35" s="10">
        <f>IF(M35&gt;=0,E35,999)</f>
        <v>999</v>
      </c>
      <c r="O35" s="10">
        <f>IF(L35&gt;0,E35,999)</f>
        <v>28</v>
      </c>
    </row>
    <row r="36" spans="1:15" x14ac:dyDescent="0.25">
      <c r="A36" t="s">
        <v>79</v>
      </c>
      <c r="B36" s="11">
        <v>0.03</v>
      </c>
      <c r="C36" s="6" t="s">
        <v>80</v>
      </c>
      <c r="E36">
        <v>29</v>
      </c>
      <c r="F36" s="9">
        <f>IF(ROUND($B$45,0)=0,1,$B$44+(1-$B$44)*MIN(1,(E36-1)/ROUND($B$45,0)))</f>
        <v>1</v>
      </c>
      <c r="G36" s="10">
        <f>ROUND((($B$24+$B$26)*$B$6*$B$10+($B$25+$B$27)*$B$6*$B$11)*F36*$B$72,0)</f>
        <v>864</v>
      </c>
      <c r="H36" s="7">
        <f>ROUND(G36*(1-$B$28)*$B$9+$B$29*F36,0)</f>
        <v>864000</v>
      </c>
      <c r="I36" s="7">
        <f>ROUND(IF($B$50="через отток",(IF($B$47&gt;0,G36/$B$47,0)*$B$48+IF($B$47&gt;0,MAX(0,G36/$B$47-G35/$B$47),0))*$B$49,$B$46),0)</f>
        <v>50000</v>
      </c>
      <c r="J36" s="7">
        <f>ROUND(H36*$B$39,0)</f>
        <v>17280</v>
      </c>
      <c r="K36" s="7">
        <f>ROUND(IF($B$41="УСН 15%",MAX(H36*0.01,(H36-($B$82+I36+J36))*0.15),IF($B$41="УСН 6%",H36*0.06,H36*$B$40)),0)</f>
        <v>51840</v>
      </c>
      <c r="L36" s="7">
        <f>H36-$B$82-I36-J36-K36</f>
        <v>267885</v>
      </c>
      <c r="M36" s="7">
        <f>M35+L36</f>
        <v>-78635</v>
      </c>
      <c r="N36" s="10">
        <f>IF(M36&gt;=0,E36,999)</f>
        <v>999</v>
      </c>
      <c r="O36" s="10">
        <f>IF(L36&gt;0,E36,999)</f>
        <v>29</v>
      </c>
    </row>
    <row r="37" spans="1:15" x14ac:dyDescent="0.25">
      <c r="A37" t="s">
        <v>81</v>
      </c>
      <c r="B37" s="8">
        <v>8000</v>
      </c>
      <c r="C37" s="6" t="s">
        <v>78</v>
      </c>
      <c r="E37">
        <v>30</v>
      </c>
      <c r="F37" s="9">
        <f>IF(ROUND($B$45,0)=0,1,$B$44+(1-$B$44)*MIN(1,(E37-1)/ROUND($B$45,0)))</f>
        <v>1</v>
      </c>
      <c r="G37" s="10">
        <f>ROUND((($B$24+$B$26)*$B$6*$B$10+($B$25+$B$27)*$B$6*$B$11)*F37*$B$72,0)</f>
        <v>864</v>
      </c>
      <c r="H37" s="7">
        <f>ROUND(G37*(1-$B$28)*$B$9+$B$29*F37,0)</f>
        <v>864000</v>
      </c>
      <c r="I37" s="7">
        <f>ROUND(IF($B$50="через отток",(IF($B$47&gt;0,G37/$B$47,0)*$B$48+IF($B$47&gt;0,MAX(0,G37/$B$47-G36/$B$47),0))*$B$49,$B$46),0)</f>
        <v>50000</v>
      </c>
      <c r="J37" s="7">
        <f>ROUND(H37*$B$39,0)</f>
        <v>17280</v>
      </c>
      <c r="K37" s="7">
        <f>ROUND(IF($B$41="УСН 15%",MAX(H37*0.01,(H37-($B$82+I37+J37))*0.15),IF($B$41="УСН 6%",H37*0.06,H37*$B$40)),0)</f>
        <v>51840</v>
      </c>
      <c r="L37" s="7">
        <f>H37-$B$82-I37-J37-K37</f>
        <v>267885</v>
      </c>
      <c r="M37" s="7">
        <f>M36+L37</f>
        <v>189250</v>
      </c>
      <c r="N37" s="10">
        <f>IF(M37&gt;=0,E37,999)</f>
        <v>30</v>
      </c>
      <c r="O37" s="10">
        <f>IF(L37&gt;0,E37,999)</f>
        <v>30</v>
      </c>
    </row>
    <row r="38" spans="1:15" x14ac:dyDescent="0.25">
      <c r="A38" t="s">
        <v>82</v>
      </c>
      <c r="B38" s="8">
        <v>15000</v>
      </c>
      <c r="C38" s="6" t="s">
        <v>78</v>
      </c>
      <c r="E38">
        <v>31</v>
      </c>
      <c r="F38" s="9">
        <f>IF(ROUND($B$45,0)=0,1,$B$44+(1-$B$44)*MIN(1,(E38-1)/ROUND($B$45,0)))</f>
        <v>1</v>
      </c>
      <c r="G38" s="10">
        <f>ROUND((($B$24+$B$26)*$B$6*$B$10+($B$25+$B$27)*$B$6*$B$11)*F38*$B$72,0)</f>
        <v>864</v>
      </c>
      <c r="H38" s="7">
        <f>ROUND(G38*(1-$B$28)*$B$9+$B$29*F38,0)</f>
        <v>864000</v>
      </c>
      <c r="I38" s="7">
        <f>ROUND(IF($B$50="через отток",(IF($B$47&gt;0,G38/$B$47,0)*$B$48+IF($B$47&gt;0,MAX(0,G38/$B$47-G37/$B$47),0))*$B$49,$B$46),0)</f>
        <v>50000</v>
      </c>
      <c r="J38" s="7">
        <f>ROUND(H38*$B$39,0)</f>
        <v>17280</v>
      </c>
      <c r="K38" s="7">
        <f>ROUND(IF($B$41="УСН 15%",MAX(H38*0.01,(H38-($B$82+I38+J38))*0.15),IF($B$41="УСН 6%",H38*0.06,H38*$B$40)),0)</f>
        <v>51840</v>
      </c>
      <c r="L38" s="7">
        <f>H38-$B$82-I38-J38-K38</f>
        <v>267885</v>
      </c>
      <c r="M38" s="7">
        <f>M37+L38</f>
        <v>457135</v>
      </c>
      <c r="N38" s="10">
        <f>IF(M38&gt;=0,E38,999)</f>
        <v>31</v>
      </c>
      <c r="O38" s="10">
        <f>IF(L38&gt;0,E38,999)</f>
        <v>31</v>
      </c>
    </row>
    <row r="39" spans="1:15" x14ac:dyDescent="0.25">
      <c r="A39" t="s">
        <v>28</v>
      </c>
      <c r="B39" s="11">
        <v>0.02</v>
      </c>
      <c r="C39" s="6" t="s">
        <v>83</v>
      </c>
      <c r="E39">
        <v>32</v>
      </c>
      <c r="F39" s="9">
        <f>IF(ROUND($B$45,0)=0,1,$B$44+(1-$B$44)*MIN(1,(E39-1)/ROUND($B$45,0)))</f>
        <v>1</v>
      </c>
      <c r="G39" s="10">
        <f>ROUND((($B$24+$B$26)*$B$6*$B$10+($B$25+$B$27)*$B$6*$B$11)*F39*$B$72,0)</f>
        <v>864</v>
      </c>
      <c r="H39" s="7">
        <f>ROUND(G39*(1-$B$28)*$B$9+$B$29*F39,0)</f>
        <v>864000</v>
      </c>
      <c r="I39" s="7">
        <f>ROUND(IF($B$50="через отток",(IF($B$47&gt;0,G39/$B$47,0)*$B$48+IF($B$47&gt;0,MAX(0,G39/$B$47-G38/$B$47),0))*$B$49,$B$46),0)</f>
        <v>50000</v>
      </c>
      <c r="J39" s="7">
        <f>ROUND(H39*$B$39,0)</f>
        <v>17280</v>
      </c>
      <c r="K39" s="7">
        <f>ROUND(IF($B$41="УСН 15%",MAX(H39*0.01,(H39-($B$82+I39+J39))*0.15),IF($B$41="УСН 6%",H39*0.06,H39*$B$40)),0)</f>
        <v>51840</v>
      </c>
      <c r="L39" s="7">
        <f>H39-$B$82-I39-J39-K39</f>
        <v>267885</v>
      </c>
      <c r="M39" s="7">
        <f>M38+L39</f>
        <v>725020</v>
      </c>
      <c r="N39" s="10">
        <f>IF(M39&gt;=0,E39,999)</f>
        <v>32</v>
      </c>
      <c r="O39" s="10">
        <f>IF(L39&gt;0,E39,999)</f>
        <v>32</v>
      </c>
    </row>
    <row r="40" spans="1:15" x14ac:dyDescent="0.25">
      <c r="A40" t="s">
        <v>84</v>
      </c>
      <c r="B40" s="11">
        <v>0.06</v>
      </c>
      <c r="C40" s="6" t="s">
        <v>85</v>
      </c>
      <c r="E40">
        <v>33</v>
      </c>
      <c r="F40" s="9">
        <f>IF(ROUND($B$45,0)=0,1,$B$44+(1-$B$44)*MIN(1,(E40-1)/ROUND($B$45,0)))</f>
        <v>1</v>
      </c>
      <c r="G40" s="10">
        <f>ROUND((($B$24+$B$26)*$B$6*$B$10+($B$25+$B$27)*$B$6*$B$11)*F40*$B$72,0)</f>
        <v>864</v>
      </c>
      <c r="H40" s="7">
        <f>ROUND(G40*(1-$B$28)*$B$9+$B$29*F40,0)</f>
        <v>864000</v>
      </c>
      <c r="I40" s="7">
        <f>ROUND(IF($B$50="через отток",(IF($B$47&gt;0,G40/$B$47,0)*$B$48+IF($B$47&gt;0,MAX(0,G40/$B$47-G39/$B$47),0))*$B$49,$B$46),0)</f>
        <v>50000</v>
      </c>
      <c r="J40" s="7">
        <f>ROUND(H40*$B$39,0)</f>
        <v>17280</v>
      </c>
      <c r="K40" s="7">
        <f>ROUND(IF($B$41="УСН 15%",MAX(H40*0.01,(H40-($B$82+I40+J40))*0.15),IF($B$41="УСН 6%",H40*0.06,H40*$B$40)),0)</f>
        <v>51840</v>
      </c>
      <c r="L40" s="7">
        <f>H40-$B$82-I40-J40-K40</f>
        <v>267885</v>
      </c>
      <c r="M40" s="7">
        <f>M39+L40</f>
        <v>992905</v>
      </c>
      <c r="N40" s="10">
        <f>IF(M40&gt;=0,E40,999)</f>
        <v>33</v>
      </c>
      <c r="O40" s="10">
        <f>IF(L40&gt;0,E40,999)</f>
        <v>33</v>
      </c>
    </row>
    <row r="41" spans="1:15" x14ac:dyDescent="0.25">
      <c r="A41" t="s">
        <v>86</v>
      </c>
      <c r="B41" s="12" t="s">
        <v>87</v>
      </c>
      <c r="C41" s="6" t="s">
        <v>88</v>
      </c>
      <c r="E41">
        <v>34</v>
      </c>
      <c r="F41" s="9">
        <f>IF(ROUND($B$45,0)=0,1,$B$44+(1-$B$44)*MIN(1,(E41-1)/ROUND($B$45,0)))</f>
        <v>1</v>
      </c>
      <c r="G41" s="10">
        <f>ROUND((($B$24+$B$26)*$B$6*$B$10+($B$25+$B$27)*$B$6*$B$11)*F41*$B$72,0)</f>
        <v>864</v>
      </c>
      <c r="H41" s="7">
        <f>ROUND(G41*(1-$B$28)*$B$9+$B$29*F41,0)</f>
        <v>864000</v>
      </c>
      <c r="I41" s="7">
        <f>ROUND(IF($B$50="через отток",(IF($B$47&gt;0,G41/$B$47,0)*$B$48+IF($B$47&gt;0,MAX(0,G41/$B$47-G40/$B$47),0))*$B$49,$B$46),0)</f>
        <v>50000</v>
      </c>
      <c r="J41" s="7">
        <f>ROUND(H41*$B$39,0)</f>
        <v>17280</v>
      </c>
      <c r="K41" s="7">
        <f>ROUND(IF($B$41="УСН 15%",MAX(H41*0.01,(H41-($B$82+I41+J41))*0.15),IF($B$41="УСН 6%",H41*0.06,H41*$B$40)),0)</f>
        <v>51840</v>
      </c>
      <c r="L41" s="7">
        <f>H41-$B$82-I41-J41-K41</f>
        <v>267885</v>
      </c>
      <c r="M41" s="7">
        <f>M40+L41</f>
        <v>1260790</v>
      </c>
      <c r="N41" s="10">
        <f>IF(M41&gt;=0,E41,999)</f>
        <v>34</v>
      </c>
      <c r="O41" s="10">
        <f>IF(L41&gt;0,E41,999)</f>
        <v>34</v>
      </c>
    </row>
    <row r="42" spans="5:15" x14ac:dyDescent="0.25">
      <c r="E42">
        <v>35</v>
      </c>
      <c r="F42" s="9">
        <f>IF(ROUND($B$45,0)=0,1,$B$44+(1-$B$44)*MIN(1,(E42-1)/ROUND($B$45,0)))</f>
        <v>1</v>
      </c>
      <c r="G42" s="10">
        <f>ROUND((($B$24+$B$26)*$B$6*$B$10+($B$25+$B$27)*$B$6*$B$11)*F42*$B$72,0)</f>
        <v>864</v>
      </c>
      <c r="H42" s="7">
        <f>ROUND(G42*(1-$B$28)*$B$9+$B$29*F42,0)</f>
        <v>864000</v>
      </c>
      <c r="I42" s="7">
        <f>ROUND(IF($B$50="через отток",(IF($B$47&gt;0,G42/$B$47,0)*$B$48+IF($B$47&gt;0,MAX(0,G42/$B$47-G41/$B$47),0))*$B$49,$B$46),0)</f>
        <v>50000</v>
      </c>
      <c r="J42" s="7">
        <f>ROUND(H42*$B$39,0)</f>
        <v>17280</v>
      </c>
      <c r="K42" s="7">
        <f>ROUND(IF($B$41="УСН 15%",MAX(H42*0.01,(H42-($B$82+I42+J42))*0.15),IF($B$41="УСН 6%",H42*0.06,H42*$B$40)),0)</f>
        <v>51840</v>
      </c>
      <c r="L42" s="7">
        <f>H42-$B$82-I42-J42-K42</f>
        <v>267885</v>
      </c>
      <c r="M42" s="7">
        <f>M41+L42</f>
        <v>1528675</v>
      </c>
      <c r="N42" s="10">
        <f>IF(M42&gt;=0,E42,999)</f>
        <v>35</v>
      </c>
      <c r="O42" s="10">
        <f>IF(L42&gt;0,E42,999)</f>
        <v>35</v>
      </c>
    </row>
    <row r="43" spans="1:15" x14ac:dyDescent="0.25">
      <c r="A43" s="4" t="s">
        <v>89</v>
      </c>
      <c r="B43" s="4"/>
      <c r="C43" s="4"/>
      <c r="E43">
        <v>36</v>
      </c>
      <c r="F43" s="9">
        <f>IF(ROUND($B$45,0)=0,1,$B$44+(1-$B$44)*MIN(1,(E43-1)/ROUND($B$45,0)))</f>
        <v>1</v>
      </c>
      <c r="G43" s="10">
        <f>ROUND((($B$24+$B$26)*$B$6*$B$10+($B$25+$B$27)*$B$6*$B$11)*F43*$B$72,0)</f>
        <v>864</v>
      </c>
      <c r="H43" s="7">
        <f>ROUND(G43*(1-$B$28)*$B$9+$B$29*F43,0)</f>
        <v>864000</v>
      </c>
      <c r="I43" s="7">
        <f>ROUND(IF($B$50="через отток",(IF($B$47&gt;0,G43/$B$47,0)*$B$48+IF($B$47&gt;0,MAX(0,G43/$B$47-G42/$B$47),0))*$B$49,$B$46),0)</f>
        <v>50000</v>
      </c>
      <c r="J43" s="7">
        <f>ROUND(H43*$B$39,0)</f>
        <v>17280</v>
      </c>
      <c r="K43" s="7">
        <f>ROUND(IF($B$41="УСН 15%",MAX(H43*0.01,(H43-($B$82+I43+J43))*0.15),IF($B$41="УСН 6%",H43*0.06,H43*$B$40)),0)</f>
        <v>51840</v>
      </c>
      <c r="L43" s="7">
        <f>H43-$B$82-I43-J43-K43</f>
        <v>267885</v>
      </c>
      <c r="M43" s="7">
        <f>M42+L43</f>
        <v>1796560</v>
      </c>
      <c r="N43" s="10">
        <f>IF(M43&gt;=0,E43,999)</f>
        <v>36</v>
      </c>
      <c r="O43" s="10">
        <f>IF(L43&gt;0,E43,999)</f>
        <v>36</v>
      </c>
    </row>
    <row r="44" spans="1:3" x14ac:dyDescent="0.25">
      <c r="A44" t="s">
        <v>90</v>
      </c>
      <c r="B44" s="11">
        <v>0.3</v>
      </c>
      <c r="C44" s="6" t="s">
        <v>91</v>
      </c>
    </row>
    <row r="45" spans="1:3" x14ac:dyDescent="0.25">
      <c r="A45" t="s">
        <v>92</v>
      </c>
      <c r="B45" s="5">
        <v>6</v>
      </c>
      <c r="C45" s="6" t="s">
        <v>93</v>
      </c>
    </row>
    <row r="46" spans="1:12" x14ac:dyDescent="0.25">
      <c r="A46" t="s">
        <v>27</v>
      </c>
      <c r="B46" s="8">
        <v>50000</v>
      </c>
      <c r="C46" s="6" t="s">
        <v>94</v>
      </c>
      <c r="E46" s="4" t="s">
        <v>95</v>
      </c>
      <c r="F46" s="4"/>
      <c r="G46" s="4"/>
      <c r="H46" s="4"/>
      <c r="I46" s="4"/>
      <c r="J46" s="4"/>
      <c r="K46" s="4"/>
      <c r="L46" s="4"/>
    </row>
    <row r="47" spans="1:12" x14ac:dyDescent="0.25">
      <c r="A47" t="s">
        <v>96</v>
      </c>
      <c r="B47" s="5">
        <v>6</v>
      </c>
      <c r="C47" s="6" t="s">
        <v>97</v>
      </c>
      <c r="E47" t="s">
        <v>98</v>
      </c>
      <c r="F47" t="s">
        <v>99</v>
      </c>
      <c r="G47" t="s">
        <v>25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</row>
    <row r="48" spans="1:12" x14ac:dyDescent="0.25">
      <c r="A48" t="s">
        <v>100</v>
      </c>
      <c r="B48" s="11">
        <v>0.1</v>
      </c>
      <c r="C48" s="6" t="s">
        <v>101</v>
      </c>
      <c r="E48" s="13">
        <v>-0.1</v>
      </c>
      <c r="F48" s="13">
        <v>-0.1</v>
      </c>
      <c r="G48" s="10">
        <f>ROUND((($B$24+$B$26)*$B$6*MIN(1,MAX(0,$B$10+E48))+($B$25+$B$27)*$B$6*MIN(1,MAX(0,$B$11+E48)))*1*$B$72,0)</f>
        <v>683</v>
      </c>
      <c r="H48" s="7">
        <f>ROUND(G48*(1-$B$28)*($B$9*(1+F48))+$B$29*1,0)</f>
        <v>614700</v>
      </c>
      <c r="I48" s="7">
        <f>ROUND(IF($B$50="через отток",(IF($B$47&gt;0,G48/$B$47,0)*$B$48+0)*$B$49,$B$46),0)</f>
        <v>50000</v>
      </c>
      <c r="J48" s="7">
        <f>ROUND(H48*$B$39,0)</f>
        <v>12294</v>
      </c>
      <c r="K48" s="7">
        <f>ROUND(IF($B$41="УСН 15%",MAX(H48*0.01,(H48-($B$82+I48+J48))*0.15),IF($B$41="УСН 6%",H48*0.06,H48*$B$40)),0)</f>
        <v>36882</v>
      </c>
      <c r="L48" s="7">
        <f>H48-$B$82-I48-J48-K48</f>
        <v>38529</v>
      </c>
    </row>
    <row r="49" spans="1:12" x14ac:dyDescent="0.25">
      <c r="A49" t="s">
        <v>102</v>
      </c>
      <c r="B49" s="8">
        <v>2500</v>
      </c>
      <c r="C49" s="6" t="s">
        <v>103</v>
      </c>
      <c r="E49" s="13">
        <v>-0.1</v>
      </c>
      <c r="F49" s="13">
        <v>0</v>
      </c>
      <c r="G49" s="10">
        <f>ROUND((($B$24+$B$26)*$B$6*MIN(1,MAX(0,$B$10+E49))+($B$25+$B$27)*$B$6*MIN(1,MAX(0,$B$11+E49)))*1*$B$72,0)</f>
        <v>683</v>
      </c>
      <c r="H49" s="7">
        <f>ROUND(G49*(1-$B$28)*($B$9*(1+F49))+$B$29*1,0)</f>
        <v>683000</v>
      </c>
      <c r="I49" s="7">
        <f>ROUND(IF($B$50="через отток",(IF($B$47&gt;0,G49/$B$47,0)*$B$48+0)*$B$49,$B$46),0)</f>
        <v>50000</v>
      </c>
      <c r="J49" s="7">
        <f>ROUND(H49*$B$39,0)</f>
        <v>13660</v>
      </c>
      <c r="K49" s="7">
        <f>ROUND(IF($B$41="УСН 15%",MAX(H49*0.01,(H49-($B$82+I49+J49))*0.15),IF($B$41="УСН 6%",H49*0.06,H49*$B$40)),0)</f>
        <v>40980</v>
      </c>
      <c r="L49" s="7">
        <f>H49-$B$82-I49-J49-K49</f>
        <v>101365</v>
      </c>
    </row>
    <row r="50" spans="1:12" x14ac:dyDescent="0.25">
      <c r="A50" t="s">
        <v>104</v>
      </c>
      <c r="B50" s="12" t="s">
        <v>105</v>
      </c>
      <c r="C50" s="6" t="s">
        <v>106</v>
      </c>
      <c r="E50" s="13">
        <v>-0.1</v>
      </c>
      <c r="F50" s="13">
        <v>0.1</v>
      </c>
      <c r="G50" s="10">
        <f>ROUND((($B$24+$B$26)*$B$6*MIN(1,MAX(0,$B$10+E50))+($B$25+$B$27)*$B$6*MIN(1,MAX(0,$B$11+E50)))*1*$B$72,0)</f>
        <v>683</v>
      </c>
      <c r="H50" s="7">
        <f>ROUND(G50*(1-$B$28)*($B$9*(1+F50))+$B$29*1,0)</f>
        <v>751300</v>
      </c>
      <c r="I50" s="7">
        <f>ROUND(IF($B$50="через отток",(IF($B$47&gt;0,G50/$B$47,0)*$B$48+0)*$B$49,$B$46),0)</f>
        <v>50000</v>
      </c>
      <c r="J50" s="7">
        <f>ROUND(H50*$B$39,0)</f>
        <v>15026</v>
      </c>
      <c r="K50" s="7">
        <f>ROUND(IF($B$41="УСН 15%",MAX(H50*0.01,(H50-($B$82+I50+J50))*0.15),IF($B$41="УСН 6%",H50*0.06,H50*$B$40)),0)</f>
        <v>45078</v>
      </c>
      <c r="L50" s="7">
        <f>H50-$B$82-I50-J50-K50</f>
        <v>164201</v>
      </c>
    </row>
    <row r="51" spans="5:12" x14ac:dyDescent="0.25">
      <c r="E51" s="13">
        <v>0</v>
      </c>
      <c r="F51" s="13">
        <v>-0.1</v>
      </c>
      <c r="G51" s="10">
        <f>ROUND((($B$24+$B$26)*$B$6*MIN(1,MAX(0,$B$10+E51))+($B$25+$B$27)*$B$6*MIN(1,MAX(0,$B$11+E51)))*1*$B$72,0)</f>
        <v>864</v>
      </c>
      <c r="H51" s="7">
        <f>ROUND(G51*(1-$B$28)*($B$9*(1+F51))+$B$29*1,0)</f>
        <v>777600</v>
      </c>
      <c r="I51" s="7">
        <f>ROUND(IF($B$50="через отток",(IF($B$47&gt;0,G51/$B$47,0)*$B$48+0)*$B$49,$B$46),0)</f>
        <v>50000</v>
      </c>
      <c r="J51" s="7">
        <f>ROUND(H51*$B$39,0)</f>
        <v>15552</v>
      </c>
      <c r="K51" s="7">
        <f>ROUND(IF($B$41="УСН 15%",MAX(H51*0.01,(H51-($B$82+I51+J51))*0.15),IF($B$41="УСН 6%",H51*0.06,H51*$B$40)),0)</f>
        <v>46656</v>
      </c>
      <c r="L51" s="7">
        <f>H51-$B$82-I51-J51-K51</f>
        <v>188397</v>
      </c>
    </row>
    <row r="52" spans="1:12" x14ac:dyDescent="0.25">
      <c r="A52" s="4" t="s">
        <v>107</v>
      </c>
      <c r="B52" s="4"/>
      <c r="C52" s="4"/>
      <c r="E52" s="13">
        <v>0</v>
      </c>
      <c r="F52" s="13">
        <v>0</v>
      </c>
      <c r="G52" s="10">
        <f>ROUND((($B$24+$B$26)*$B$6*MIN(1,MAX(0,$B$10+E52))+($B$25+$B$27)*$B$6*MIN(1,MAX(0,$B$11+E52)))*1*$B$72,0)</f>
        <v>864</v>
      </c>
      <c r="H52" s="7">
        <f>ROUND(G52*(1-$B$28)*($B$9*(1+F52))+$B$29*1,0)</f>
        <v>864000</v>
      </c>
      <c r="I52" s="7">
        <f>ROUND(IF($B$50="через отток",(IF($B$47&gt;0,G52/$B$47,0)*$B$48+0)*$B$49,$B$46),0)</f>
        <v>50000</v>
      </c>
      <c r="J52" s="7">
        <f>ROUND(H52*$B$39,0)</f>
        <v>17280</v>
      </c>
      <c r="K52" s="7">
        <f>ROUND(IF($B$41="УСН 15%",MAX(H52*0.01,(H52-($B$82+I52+J52))*0.15),IF($B$41="УСН 6%",H52*0.06,H52*$B$40)),0)</f>
        <v>51840</v>
      </c>
      <c r="L52" s="7">
        <f>H52-$B$82-I52-J52-K52</f>
        <v>267885</v>
      </c>
    </row>
    <row r="53" spans="1:12" x14ac:dyDescent="0.25">
      <c r="A53" t="s">
        <v>108</v>
      </c>
      <c r="B53" s="8">
        <v>0</v>
      </c>
      <c r="C53" s="6" t="s">
        <v>109</v>
      </c>
      <c r="E53" s="13">
        <v>0</v>
      </c>
      <c r="F53" s="13">
        <v>0.1</v>
      </c>
      <c r="G53" s="10">
        <f>ROUND((($B$24+$B$26)*$B$6*MIN(1,MAX(0,$B$10+E53))+($B$25+$B$27)*$B$6*MIN(1,MAX(0,$B$11+E53)))*1*$B$72,0)</f>
        <v>864</v>
      </c>
      <c r="H53" s="7">
        <f>ROUND(G53*(1-$B$28)*($B$9*(1+F53))+$B$29*1,0)</f>
        <v>950400</v>
      </c>
      <c r="I53" s="7">
        <f>ROUND(IF($B$50="через отток",(IF($B$47&gt;0,G53/$B$47,0)*$B$48+0)*$B$49,$B$46),0)</f>
        <v>50000</v>
      </c>
      <c r="J53" s="7">
        <f>ROUND(H53*$B$39,0)</f>
        <v>19008</v>
      </c>
      <c r="K53" s="7">
        <f>ROUND(IF($B$41="УСН 15%",MAX(H53*0.01,(H53-($B$82+I53+J53))*0.15),IF($B$41="УСН 6%",H53*0.06,H53*$B$40)),0)</f>
        <v>57024</v>
      </c>
      <c r="L53" s="7">
        <f>H53-$B$82-I53-J53-K53</f>
        <v>347373</v>
      </c>
    </row>
    <row r="54" spans="1:12" x14ac:dyDescent="0.25">
      <c r="A54" t="s">
        <v>110</v>
      </c>
      <c r="B54" s="8">
        <v>1290</v>
      </c>
      <c r="E54" s="13">
        <v>0.1</v>
      </c>
      <c r="F54" s="13">
        <v>-0.1</v>
      </c>
      <c r="G54" s="10">
        <f>ROUND((($B$24+$B$26)*$B$6*MIN(1,MAX(0,$B$10+E54))+($B$25+$B$27)*$B$6*MIN(1,MAX(0,$B$11+E54)))*1*$B$72,0)</f>
        <v>1047</v>
      </c>
      <c r="H54" s="7">
        <f>ROUND(G54*(1-$B$28)*($B$9*(1+F54))+$B$29*1,0)</f>
        <v>942300</v>
      </c>
      <c r="I54" s="7">
        <f>ROUND(IF($B$50="через отток",(IF($B$47&gt;0,G54/$B$47,0)*$B$48+0)*$B$49,$B$46),0)</f>
        <v>50000</v>
      </c>
      <c r="J54" s="7">
        <f>ROUND(H54*$B$39,0)</f>
        <v>18846</v>
      </c>
      <c r="K54" s="7">
        <f>ROUND(IF($B$41="УСН 15%",MAX(H54*0.01,(H54-($B$82+I54+J54))*0.15),IF($B$41="УСН 6%",H54*0.06,H54*$B$40)),0)</f>
        <v>56538</v>
      </c>
      <c r="L54" s="7">
        <f>H54-$B$82-I54-J54-K54</f>
        <v>339921</v>
      </c>
    </row>
    <row r="55" spans="1:12" x14ac:dyDescent="0.25">
      <c r="A55" t="s">
        <v>111</v>
      </c>
      <c r="B55" s="8">
        <v>1290</v>
      </c>
      <c r="E55" s="13">
        <v>0.1</v>
      </c>
      <c r="F55" s="13">
        <v>0</v>
      </c>
      <c r="G55" s="10">
        <f>ROUND((($B$24+$B$26)*$B$6*MIN(1,MAX(0,$B$10+E55))+($B$25+$B$27)*$B$6*MIN(1,MAX(0,$B$11+E55)))*1*$B$72,0)</f>
        <v>1047</v>
      </c>
      <c r="H55" s="7">
        <f>ROUND(G55*(1-$B$28)*($B$9*(1+F55))+$B$29*1,0)</f>
        <v>1047000</v>
      </c>
      <c r="I55" s="7">
        <f>ROUND(IF($B$50="через отток",(IF($B$47&gt;0,G55/$B$47,0)*$B$48+0)*$B$49,$B$46),0)</f>
        <v>50000</v>
      </c>
      <c r="J55" s="7">
        <f>ROUND(H55*$B$39,0)</f>
        <v>20940</v>
      </c>
      <c r="K55" s="7">
        <f>ROUND(IF($B$41="УСН 15%",MAX(H55*0.01,(H55-($B$82+I55+J55))*0.15),IF($B$41="УСН 6%",H55*0.06,H55*$B$40)),0)</f>
        <v>62820</v>
      </c>
      <c r="L55" s="7">
        <f>H55-$B$82-I55-J55-K55</f>
        <v>436245</v>
      </c>
    </row>
    <row r="56" spans="1:12" x14ac:dyDescent="0.25">
      <c r="A56" t="s">
        <v>112</v>
      </c>
      <c r="B56" s="8">
        <v>1990</v>
      </c>
      <c r="E56" s="13">
        <v>0.1</v>
      </c>
      <c r="F56" s="13">
        <v>0.1</v>
      </c>
      <c r="G56" s="10">
        <f>ROUND((($B$24+$B$26)*$B$6*MIN(1,MAX(0,$B$10+E56))+($B$25+$B$27)*$B$6*MIN(1,MAX(0,$B$11+E56)))*1*$B$72,0)</f>
        <v>1047</v>
      </c>
      <c r="H56" s="7">
        <f>ROUND(G56*(1-$B$28)*($B$9*(1+F56))+$B$29*1,0)</f>
        <v>1151700</v>
      </c>
      <c r="I56" s="7">
        <f>ROUND(IF($B$50="через отток",(IF($B$47&gt;0,G56/$B$47,0)*$B$48+0)*$B$49,$B$46),0)</f>
        <v>50000</v>
      </c>
      <c r="J56" s="7">
        <f>ROUND(H56*$B$39,0)</f>
        <v>23034</v>
      </c>
      <c r="K56" s="7">
        <f>ROUND(IF($B$41="УСН 15%",MAX(H56*0.01,(H56-($B$82+I56+J56))*0.15),IF($B$41="УСН 6%",H56*0.06,H56*$B$40)),0)</f>
        <v>69102</v>
      </c>
      <c r="L56" s="7">
        <f>H56-$B$82-I56-J56-K56</f>
        <v>532569</v>
      </c>
    </row>
    <row r="57" spans="1:2" x14ac:dyDescent="0.25">
      <c r="A57" t="s">
        <v>113</v>
      </c>
      <c r="B57" s="8">
        <v>1290</v>
      </c>
    </row>
    <row r="58" spans="1:2" x14ac:dyDescent="0.25">
      <c r="A58" t="s">
        <v>114</v>
      </c>
      <c r="B58" s="7">
        <f>$B$53+$B$54+IF($B$6&lt;=20,$B$55,$B$56)+IF($B$26+$B$27&gt;0,$B$57,0)</f>
        <v>3870</v>
      </c>
    </row>
    <row r="60" spans="1:3" x14ac:dyDescent="0.25">
      <c r="A60" s="4" t="s">
        <v>115</v>
      </c>
      <c r="B60" s="4"/>
      <c r="C60" s="4"/>
    </row>
    <row r="61" spans="1:2" x14ac:dyDescent="0.25">
      <c r="A61" t="s">
        <v>116</v>
      </c>
      <c r="B61" s="7">
        <f>ROUND($B$6*$B$14,0)</f>
        <v>2250000</v>
      </c>
    </row>
    <row r="62" spans="1:2" x14ac:dyDescent="0.25">
      <c r="A62" t="s">
        <v>117</v>
      </c>
      <c r="B62" s="7">
        <f>ROUND($B$21,0)</f>
        <v>115000</v>
      </c>
    </row>
    <row r="63" spans="1:2" x14ac:dyDescent="0.25">
      <c r="A63" t="s">
        <v>46</v>
      </c>
      <c r="B63" s="7">
        <f>ROUND($B$7*$B$15,0)</f>
        <v>1350000</v>
      </c>
    </row>
    <row r="64" spans="1:2" x14ac:dyDescent="0.25">
      <c r="A64" t="s">
        <v>118</v>
      </c>
      <c r="B64" s="7">
        <f>ROUND($B$16,0)</f>
        <v>500000</v>
      </c>
    </row>
    <row r="65" spans="1:2" x14ac:dyDescent="0.25">
      <c r="A65" t="s">
        <v>50</v>
      </c>
      <c r="B65" s="7">
        <f>ROUND($B$17,0)</f>
        <v>600000</v>
      </c>
    </row>
    <row r="66" spans="1:2" x14ac:dyDescent="0.25">
      <c r="A66" t="s">
        <v>52</v>
      </c>
      <c r="B66" s="7">
        <f>ROUND($B$18*$B$8,0)</f>
        <v>300000</v>
      </c>
    </row>
    <row r="67" spans="1:2" x14ac:dyDescent="0.25">
      <c r="A67" t="s">
        <v>54</v>
      </c>
      <c r="B67" s="7">
        <f>ROUND($B$19,0)</f>
        <v>250000</v>
      </c>
    </row>
    <row r="68" spans="1:2" x14ac:dyDescent="0.25">
      <c r="A68" t="s">
        <v>119</v>
      </c>
      <c r="B68" s="7">
        <f>ROUND(($B$6*$B$14+$B$21+$B$7*$B$15+$B$16+$B$17+$B$18*$B$8+$B$19)*$B$20,0)</f>
        <v>536500</v>
      </c>
    </row>
    <row r="69" spans="1:2" x14ac:dyDescent="0.25">
      <c r="A69" s="14" t="s">
        <v>120</v>
      </c>
      <c r="B69" s="15">
        <f>$B$61+$B$62+$B$63+$B$64+$B$65+$B$66+$B$67+$B$68</f>
        <v>5901500</v>
      </c>
    </row>
    <row r="71" spans="1:3" x14ac:dyDescent="0.25">
      <c r="A71" s="4" t="s">
        <v>121</v>
      </c>
      <c r="B71" s="4"/>
      <c r="C71" s="4"/>
    </row>
    <row r="72" spans="1:2" x14ac:dyDescent="0.25">
      <c r="A72" t="s">
        <v>122</v>
      </c>
      <c r="B72" s="16">
        <f>52/12</f>
        <v>4.333333333333333</v>
      </c>
    </row>
    <row r="73" spans="1:2" x14ac:dyDescent="0.25">
      <c r="A73" t="s">
        <v>123</v>
      </c>
      <c r="B73" s="7">
        <f>ROUND($B$8,0)</f>
        <v>150000</v>
      </c>
    </row>
    <row r="74" spans="1:2" x14ac:dyDescent="0.25">
      <c r="A74" t="s">
        <v>75</v>
      </c>
      <c r="B74" s="7">
        <f>ROUND($B$7*$B$34,0)</f>
        <v>22500</v>
      </c>
    </row>
    <row r="75" spans="1:2" x14ac:dyDescent="0.25">
      <c r="A75" t="s">
        <v>124</v>
      </c>
      <c r="B75" s="7">
        <f>ROUND($B$33,0)</f>
        <v>130000</v>
      </c>
    </row>
    <row r="76" spans="1:2" x14ac:dyDescent="0.25">
      <c r="A76" t="s">
        <v>125</v>
      </c>
      <c r="B76" s="7">
        <f>ROUND(($B$24+$B$25)*$B$32*$B$72,0)</f>
        <v>117000</v>
      </c>
    </row>
    <row r="77" spans="1:2" x14ac:dyDescent="0.25">
      <c r="A77" t="s">
        <v>77</v>
      </c>
      <c r="B77" s="7">
        <f>ROUND($B$35,0)</f>
        <v>25000</v>
      </c>
    </row>
    <row r="78" spans="1:2" x14ac:dyDescent="0.25">
      <c r="A78" t="s">
        <v>79</v>
      </c>
      <c r="B78" s="7">
        <f>ROUND($B$6*$B$14*$B$36/12,0)</f>
        <v>5625</v>
      </c>
    </row>
    <row r="79" spans="1:2" x14ac:dyDescent="0.25">
      <c r="A79" t="s">
        <v>126</v>
      </c>
      <c r="B79" s="7">
        <f>ROUND($B$37,0)</f>
        <v>8000</v>
      </c>
    </row>
    <row r="80" spans="1:2" x14ac:dyDescent="0.25">
      <c r="A80" t="s">
        <v>82</v>
      </c>
      <c r="B80" s="7">
        <f>ROUND($B$38,0)</f>
        <v>15000</v>
      </c>
    </row>
    <row r="81" spans="1:2" x14ac:dyDescent="0.25">
      <c r="A81" t="s">
        <v>127</v>
      </c>
      <c r="B81" s="7">
        <f>ROUND($B$58,0)</f>
        <v>3870</v>
      </c>
    </row>
    <row r="82" spans="1:2" x14ac:dyDescent="0.25">
      <c r="A82" s="14" t="s">
        <v>128</v>
      </c>
      <c r="B82" s="15">
        <f>$B$73+$B$74+$B$75+$B$76+$B$77+$B$78+$B$79+$B$80+$B$81</f>
        <v>476995</v>
      </c>
    </row>
    <row r="84" spans="1:3" x14ac:dyDescent="0.25">
      <c r="A84" s="4" t="s">
        <v>129</v>
      </c>
      <c r="B84" s="4"/>
      <c r="C84" s="4"/>
    </row>
    <row r="85" spans="1:2" x14ac:dyDescent="0.25">
      <c r="A85" t="s">
        <v>25</v>
      </c>
      <c r="B85" s="10">
        <f>ROUND((($B$24+$B$26)*$B$6*$B$10+($B$25+$B$27)*$B$6*$B$11)*1*$B$72,0)</f>
        <v>864</v>
      </c>
    </row>
    <row r="86" spans="1:2" x14ac:dyDescent="0.25">
      <c r="A86" t="s">
        <v>130</v>
      </c>
      <c r="B86" s="17">
        <f>IF(($B$24+$B$26+$B$25+$B$27)*$B$6&gt;0,$B$85/(($B$24+$B$26+$B$25+$B$27)*$B$6*$B$72),0)</f>
        <v>0.47472527472527476</v>
      </c>
    </row>
    <row r="87" spans="1:2" x14ac:dyDescent="0.25">
      <c r="A87" t="s">
        <v>26</v>
      </c>
      <c r="B87" s="7">
        <f>ROUND($B$85*(1-$B$28)*$B$9+$B$29*1,0)</f>
        <v>864000</v>
      </c>
    </row>
    <row r="88" spans="1:2" x14ac:dyDescent="0.25">
      <c r="A88" t="s">
        <v>27</v>
      </c>
      <c r="B88" s="7">
        <f>ROUND(IF($B$50="через отток",(IF($B$47&gt;0,$B$85/$B$47,0)*$B$48+0)*$B$49,$B$46),0)</f>
        <v>50000</v>
      </c>
    </row>
    <row r="89" spans="1:2" x14ac:dyDescent="0.25">
      <c r="A89" t="s">
        <v>28</v>
      </c>
      <c r="B89" s="7">
        <f>ROUND($B$87*$B$39,0)</f>
        <v>17280</v>
      </c>
    </row>
    <row r="90" spans="1:2" x14ac:dyDescent="0.25">
      <c r="A90" t="s">
        <v>29</v>
      </c>
      <c r="B90" s="7">
        <f>ROUND(IF($B$41="УСН 15%",MAX($B$87*0.01,($B$87-($B$82+$B$88+$B$89))*0.15),IF($B$41="УСН 6%",$B$87*0.06,$B$87*$B$40)),0)</f>
        <v>51840</v>
      </c>
    </row>
    <row r="91" spans="1:2" x14ac:dyDescent="0.25">
      <c r="A91" s="14" t="s">
        <v>131</v>
      </c>
      <c r="B91" s="15">
        <f>$B$87-$B$82-$B$88-$B$89-$B$90</f>
        <v>267885</v>
      </c>
    </row>
    <row r="93" spans="1:3" x14ac:dyDescent="0.25">
      <c r="A93" s="4" t="s">
        <v>132</v>
      </c>
      <c r="B93" s="4"/>
      <c r="C93" s="4"/>
    </row>
    <row r="94" spans="1:3" x14ac:dyDescent="0.25">
      <c r="A94" s="14" t="s">
        <v>133</v>
      </c>
      <c r="B94" s="18">
        <f>IF(MIN(N8:N43)&gt;36,"не окупается за 36 мес",MIN(N8:N43))</f>
        <v>30</v>
      </c>
      <c r="C94" s="6" t="s">
        <v>134</v>
      </c>
    </row>
    <row r="95" spans="1:3" x14ac:dyDescent="0.25">
      <c r="A95" s="14" t="s">
        <v>135</v>
      </c>
      <c r="B95" s="15">
        <f>MAX(0,-MIN(M7:M43))</f>
        <v>6498840</v>
      </c>
      <c r="C95" s="6" t="s">
        <v>136</v>
      </c>
    </row>
    <row r="96" spans="1:2" x14ac:dyDescent="0.25">
      <c r="A96" t="s">
        <v>137</v>
      </c>
      <c r="B96" s="10">
        <f>IF(MIN(O8:O43)&gt;36,"нет",MIN(O8:O43))</f>
        <v>5</v>
      </c>
    </row>
  </sheetData>
  <dataValidations count="2">
    <dataValidation type="list" sqref="B41">
      <formula1>"УСН 6%,УСН 15%,свой %"</formula1>
    </dataValidation>
    <dataValidation type="list" sqref="B50">
      <formula1>"суммой,через отток"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6" customWidth="1"/>
    <col min="3" max="3" width="44" customWidth="1"/>
    <col min="4" max="4" width="3" customWidth="1"/>
    <col min="5" max="5" width="8" customWidth="1"/>
    <col min="6" max="6" width="12" customWidth="1"/>
    <col min="7" max="7" width="10" customWidth="1"/>
    <col min="8" max="12" width="14" customWidth="1"/>
    <col min="13" max="13" width="16" customWidth="1"/>
    <col min="14" max="15" width="10" customWidth="1"/>
  </cols>
  <sheetData>
    <row r="1" spans="1:1" x14ac:dyDescent="0.25">
      <c r="A1" s="1" t="s">
        <v>138</v>
      </c>
    </row>
    <row r="2" spans="1:1" x14ac:dyDescent="0.25">
      <c r="A2" s="2" t="s">
        <v>139</v>
      </c>
    </row>
    <row r="3" spans="1:1" x14ac:dyDescent="0.25">
      <c r="A3" s="2" t="s">
        <v>18</v>
      </c>
    </row>
    <row r="5" spans="1:15" x14ac:dyDescent="0.25">
      <c r="A5" s="4" t="s">
        <v>19</v>
      </c>
      <c r="B5" s="4"/>
      <c r="C5" s="4"/>
      <c r="E5" s="4" t="s">
        <v>20</v>
      </c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t="s">
        <v>21</v>
      </c>
      <c r="B6" s="5">
        <v>10</v>
      </c>
      <c r="C6" s="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33</v>
      </c>
    </row>
    <row r="7" spans="1:13" x14ac:dyDescent="0.25">
      <c r="A7" t="s">
        <v>34</v>
      </c>
      <c r="B7" s="5">
        <v>70</v>
      </c>
      <c r="C7" s="6" t="s">
        <v>35</v>
      </c>
      <c r="E7">
        <v>0</v>
      </c>
      <c r="M7" s="7">
        <f>-$B$69</f>
        <v>-2302300</v>
      </c>
    </row>
    <row r="8" spans="1:15" x14ac:dyDescent="0.25">
      <c r="A8" t="s">
        <v>36</v>
      </c>
      <c r="B8" s="8">
        <v>0</v>
      </c>
      <c r="C8" s="6" t="s">
        <v>37</v>
      </c>
      <c r="E8">
        <v>1</v>
      </c>
      <c r="F8" s="9">
        <f>IF(ROUND($B$45,0)=0,1,$B$44+(1-$B$44)*MIN(1,(E8-1)/ROUND($B$45,0)))</f>
        <v>0.5</v>
      </c>
      <c r="G8" s="10">
        <f>ROUND((($B$24+$B$26)*$B$6*$B$10+($B$25+$B$27)*$B$6*$B$11)*F8*$B$72,0)</f>
        <v>195</v>
      </c>
      <c r="H8" s="7">
        <f>ROUND(G8*(1-$B$28)*$B$9+$B$29*F8,0)</f>
        <v>117000</v>
      </c>
      <c r="I8" s="7">
        <f>ROUND(IF($B$50="через отток",(IF($B$47&gt;0,G8/$B$47,0)*$B$48+0)*$B$49,$B$46),0)</f>
        <v>10000</v>
      </c>
      <c r="J8" s="7">
        <f>ROUND(H8*$B$39,0)</f>
        <v>2340</v>
      </c>
      <c r="K8" s="7">
        <f>ROUND(IF($B$41="УСН 15%",MAX(H8*0.01,(H8-($B$82+I8+J8))*0.15),IF($B$41="УСН 6%",H8*0.06,H8*$B$40)),0)</f>
        <v>7020</v>
      </c>
      <c r="L8" s="7">
        <f>H8-$B$82-I8-J8-K8</f>
        <v>12770</v>
      </c>
      <c r="M8" s="7">
        <f>M7+L8</f>
        <v>-2289530</v>
      </c>
      <c r="N8" s="10">
        <f>IF(M8&gt;=0,E8,999)</f>
        <v>999</v>
      </c>
      <c r="O8" s="10">
        <f>IF(L8&gt;0,E8,999)</f>
        <v>1</v>
      </c>
    </row>
    <row r="9" spans="1:15" x14ac:dyDescent="0.25">
      <c r="A9" t="s">
        <v>38</v>
      </c>
      <c r="B9" s="8">
        <v>600</v>
      </c>
      <c r="C9" s="6" t="s">
        <v>39</v>
      </c>
      <c r="E9">
        <v>2</v>
      </c>
      <c r="F9" s="9">
        <f>IF(ROUND($B$45,0)=0,1,$B$44+(1-$B$44)*MIN(1,(E9-1)/ROUND($B$45,0)))</f>
        <v>0.6666666666666666</v>
      </c>
      <c r="G9" s="10">
        <f>ROUND((($B$24+$B$26)*$B$6*$B$10+($B$25+$B$27)*$B$6*$B$11)*F9*$B$72,0)</f>
        <v>260</v>
      </c>
      <c r="H9" s="7">
        <f>ROUND(G9*(1-$B$28)*$B$9+$B$29*F9,0)</f>
        <v>156000</v>
      </c>
      <c r="I9" s="7">
        <f>ROUND(IF($B$50="через отток",(IF($B$47&gt;0,G9/$B$47,0)*$B$48+IF($B$47&gt;0,MAX(0,G9/$B$47-G8/$B$47),0))*$B$49,$B$46),0)</f>
        <v>10000</v>
      </c>
      <c r="J9" s="7">
        <f>ROUND(H9*$B$39,0)</f>
        <v>3120</v>
      </c>
      <c r="K9" s="7">
        <f>ROUND(IF($B$41="УСН 15%",MAX(H9*0.01,(H9-($B$82+I9+J9))*0.15),IF($B$41="УСН 6%",H9*0.06,H9*$B$40)),0)</f>
        <v>9360</v>
      </c>
      <c r="L9" s="7">
        <f>H9-$B$82-I9-J9-K9</f>
        <v>48650</v>
      </c>
      <c r="M9" s="7">
        <f>M8+L9</f>
        <v>-2240880</v>
      </c>
      <c r="N9" s="10">
        <f>IF(M9&gt;=0,E9,999)</f>
        <v>999</v>
      </c>
      <c r="O9" s="10">
        <f>IF(L9&gt;0,E9,999)</f>
        <v>2</v>
      </c>
    </row>
    <row r="10" spans="1:15" x14ac:dyDescent="0.25">
      <c r="A10" t="s">
        <v>40</v>
      </c>
      <c r="B10" s="11">
        <v>0.65</v>
      </c>
      <c r="C10" s="6" t="s">
        <v>41</v>
      </c>
      <c r="E10">
        <v>3</v>
      </c>
      <c r="F10" s="9">
        <f>IF(ROUND($B$45,0)=0,1,$B$44+(1-$B$44)*MIN(1,(E10-1)/ROUND($B$45,0)))</f>
        <v>0.8333333333333333</v>
      </c>
      <c r="G10" s="10">
        <f>ROUND((($B$24+$B$26)*$B$6*$B$10+($B$25+$B$27)*$B$6*$B$11)*F10*$B$72,0)</f>
        <v>325</v>
      </c>
      <c r="H10" s="7">
        <f>ROUND(G10*(1-$B$28)*$B$9+$B$29*F10,0)</f>
        <v>195000</v>
      </c>
      <c r="I10" s="7">
        <f>ROUND(IF($B$50="через отток",(IF($B$47&gt;0,G10/$B$47,0)*$B$48+IF($B$47&gt;0,MAX(0,G10/$B$47-G9/$B$47),0))*$B$49,$B$46),0)</f>
        <v>10000</v>
      </c>
      <c r="J10" s="7">
        <f>ROUND(H10*$B$39,0)</f>
        <v>3900</v>
      </c>
      <c r="K10" s="7">
        <f>ROUND(IF($B$41="УСН 15%",MAX(H10*0.01,(H10-($B$82+I10+J10))*0.15),IF($B$41="УСН 6%",H10*0.06,H10*$B$40)),0)</f>
        <v>11700</v>
      </c>
      <c r="L10" s="7">
        <f>H10-$B$82-I10-J10-K10</f>
        <v>84530</v>
      </c>
      <c r="M10" s="7">
        <f>M9+L10</f>
        <v>-2156350</v>
      </c>
      <c r="N10" s="10">
        <f>IF(M10&gt;=0,E10,999)</f>
        <v>999</v>
      </c>
      <c r="O10" s="10">
        <f>IF(L10&gt;0,E10,999)</f>
        <v>3</v>
      </c>
    </row>
    <row r="11" spans="1:15" x14ac:dyDescent="0.25">
      <c r="A11" t="s">
        <v>42</v>
      </c>
      <c r="B11" s="11">
        <v>0.25</v>
      </c>
      <c r="C11" s="6" t="s">
        <v>43</v>
      </c>
      <c r="E11">
        <v>4</v>
      </c>
      <c r="F11" s="9">
        <f>IF(ROUND($B$45,0)=0,1,$B$44+(1-$B$44)*MIN(1,(E11-1)/ROUND($B$45,0)))</f>
        <v>1</v>
      </c>
      <c r="G11" s="10">
        <f>ROUND((($B$24+$B$26)*$B$6*$B$10+($B$25+$B$27)*$B$6*$B$11)*F11*$B$72,0)</f>
        <v>390</v>
      </c>
      <c r="H11" s="7">
        <f>ROUND(G11*(1-$B$28)*$B$9+$B$29*F11,0)</f>
        <v>234000</v>
      </c>
      <c r="I11" s="7">
        <f>ROUND(IF($B$50="через отток",(IF($B$47&gt;0,G11/$B$47,0)*$B$48+IF($B$47&gt;0,MAX(0,G11/$B$47-G10/$B$47),0))*$B$49,$B$46),0)</f>
        <v>10000</v>
      </c>
      <c r="J11" s="7">
        <f>ROUND(H11*$B$39,0)</f>
        <v>4680</v>
      </c>
      <c r="K11" s="7">
        <f>ROUND(IF($B$41="УСН 15%",MAX(H11*0.01,(H11-($B$82+I11+J11))*0.15),IF($B$41="УСН 6%",H11*0.06,H11*$B$40)),0)</f>
        <v>14040</v>
      </c>
      <c r="L11" s="7">
        <f>H11-$B$82-I11-J11-K11</f>
        <v>120410</v>
      </c>
      <c r="M11" s="7">
        <f>M10+L11</f>
        <v>-2035940</v>
      </c>
      <c r="N11" s="10">
        <f>IF(M11&gt;=0,E11,999)</f>
        <v>999</v>
      </c>
      <c r="O11" s="10">
        <f>IF(L11&gt;0,E11,999)</f>
        <v>4</v>
      </c>
    </row>
    <row r="12" spans="5:15" x14ac:dyDescent="0.25">
      <c r="E12">
        <v>5</v>
      </c>
      <c r="F12" s="9">
        <f>IF(ROUND($B$45,0)=0,1,$B$44+(1-$B$44)*MIN(1,(E12-1)/ROUND($B$45,0)))</f>
        <v>1</v>
      </c>
      <c r="G12" s="10">
        <f>ROUND((($B$24+$B$26)*$B$6*$B$10+($B$25+$B$27)*$B$6*$B$11)*F12*$B$72,0)</f>
        <v>390</v>
      </c>
      <c r="H12" s="7">
        <f>ROUND(G12*(1-$B$28)*$B$9+$B$29*F12,0)</f>
        <v>234000</v>
      </c>
      <c r="I12" s="7">
        <f>ROUND(IF($B$50="через отток",(IF($B$47&gt;0,G12/$B$47,0)*$B$48+IF($B$47&gt;0,MAX(0,G12/$B$47-G11/$B$47),0))*$B$49,$B$46),0)</f>
        <v>10000</v>
      </c>
      <c r="J12" s="7">
        <f>ROUND(H12*$B$39,0)</f>
        <v>4680</v>
      </c>
      <c r="K12" s="7">
        <f>ROUND(IF($B$41="УСН 15%",MAX(H12*0.01,(H12-($B$82+I12+J12))*0.15),IF($B$41="УСН 6%",H12*0.06,H12*$B$40)),0)</f>
        <v>14040</v>
      </c>
      <c r="L12" s="7">
        <f>H12-$B$82-I12-J12-K12</f>
        <v>120410</v>
      </c>
      <c r="M12" s="7">
        <f>M11+L12</f>
        <v>-1915530</v>
      </c>
      <c r="N12" s="10">
        <f>IF(M12&gt;=0,E12,999)</f>
        <v>999</v>
      </c>
      <c r="O12" s="10">
        <f>IF(L12&gt;0,E12,999)</f>
        <v>5</v>
      </c>
    </row>
    <row r="13" spans="1:15" x14ac:dyDescent="0.25">
      <c r="A13" s="4" t="s">
        <v>44</v>
      </c>
      <c r="B13" s="4"/>
      <c r="C13" s="4"/>
      <c r="E13">
        <v>6</v>
      </c>
      <c r="F13" s="9">
        <f>IF(ROUND($B$45,0)=0,1,$B$44+(1-$B$44)*MIN(1,(E13-1)/ROUND($B$45,0)))</f>
        <v>1</v>
      </c>
      <c r="G13" s="10">
        <f>ROUND((($B$24+$B$26)*$B$6*$B$10+($B$25+$B$27)*$B$6*$B$11)*F13*$B$72,0)</f>
        <v>390</v>
      </c>
      <c r="H13" s="7">
        <f>ROUND(G13*(1-$B$28)*$B$9+$B$29*F13,0)</f>
        <v>234000</v>
      </c>
      <c r="I13" s="7">
        <f>ROUND(IF($B$50="через отток",(IF($B$47&gt;0,G13/$B$47,0)*$B$48+IF($B$47&gt;0,MAX(0,G13/$B$47-G12/$B$47),0))*$B$49,$B$46),0)</f>
        <v>10000</v>
      </c>
      <c r="J13" s="7">
        <f>ROUND(H13*$B$39,0)</f>
        <v>4680</v>
      </c>
      <c r="K13" s="7">
        <f>ROUND(IF($B$41="УСН 15%",MAX(H13*0.01,(H13-($B$82+I13+J13))*0.15),IF($B$41="УСН 6%",H13*0.06,H13*$B$40)),0)</f>
        <v>14040</v>
      </c>
      <c r="L13" s="7">
        <f>H13-$B$82-I13-J13-K13</f>
        <v>120410</v>
      </c>
      <c r="M13" s="7">
        <f>M12+L13</f>
        <v>-1795120</v>
      </c>
      <c r="N13" s="10">
        <f>IF(M13&gt;=0,E13,999)</f>
        <v>999</v>
      </c>
      <c r="O13" s="10">
        <f>IF(L13&gt;0,E13,999)</f>
        <v>6</v>
      </c>
    </row>
    <row r="14" spans="1:15" x14ac:dyDescent="0.25">
      <c r="A14" t="s">
        <v>45</v>
      </c>
      <c r="B14" s="8">
        <v>120000</v>
      </c>
      <c r="E14">
        <v>7</v>
      </c>
      <c r="F14" s="9">
        <f>IF(ROUND($B$45,0)=0,1,$B$44+(1-$B$44)*MIN(1,(E14-1)/ROUND($B$45,0)))</f>
        <v>1</v>
      </c>
      <c r="G14" s="10">
        <f>ROUND((($B$24+$B$26)*$B$6*$B$10+($B$25+$B$27)*$B$6*$B$11)*F14*$B$72,0)</f>
        <v>390</v>
      </c>
      <c r="H14" s="7">
        <f>ROUND(G14*(1-$B$28)*$B$9+$B$29*F14,0)</f>
        <v>234000</v>
      </c>
      <c r="I14" s="7">
        <f>ROUND(IF($B$50="через отток",(IF($B$47&gt;0,G14/$B$47,0)*$B$48+IF($B$47&gt;0,MAX(0,G14/$B$47-G13/$B$47),0))*$B$49,$B$46),0)</f>
        <v>10000</v>
      </c>
      <c r="J14" s="7">
        <f>ROUND(H14*$B$39,0)</f>
        <v>4680</v>
      </c>
      <c r="K14" s="7">
        <f>ROUND(IF($B$41="УСН 15%",MAX(H14*0.01,(H14-($B$82+I14+J14))*0.15),IF($B$41="УСН 6%",H14*0.06,H14*$B$40)),0)</f>
        <v>14040</v>
      </c>
      <c r="L14" s="7">
        <f>H14-$B$82-I14-J14-K14</f>
        <v>120410</v>
      </c>
      <c r="M14" s="7">
        <f>M13+L14</f>
        <v>-1674710</v>
      </c>
      <c r="N14" s="10">
        <f>IF(M14&gt;=0,E14,999)</f>
        <v>999</v>
      </c>
      <c r="O14" s="10">
        <f>IF(L14&gt;0,E14,999)</f>
        <v>7</v>
      </c>
    </row>
    <row r="15" spans="1:15" x14ac:dyDescent="0.25">
      <c r="A15" t="s">
        <v>46</v>
      </c>
      <c r="B15" s="8">
        <v>6000</v>
      </c>
      <c r="C15" s="6" t="s">
        <v>47</v>
      </c>
      <c r="E15">
        <v>8</v>
      </c>
      <c r="F15" s="9">
        <f>IF(ROUND($B$45,0)=0,1,$B$44+(1-$B$44)*MIN(1,(E15-1)/ROUND($B$45,0)))</f>
        <v>1</v>
      </c>
      <c r="G15" s="10">
        <f>ROUND((($B$24+$B$26)*$B$6*$B$10+($B$25+$B$27)*$B$6*$B$11)*F15*$B$72,0)</f>
        <v>390</v>
      </c>
      <c r="H15" s="7">
        <f>ROUND(G15*(1-$B$28)*$B$9+$B$29*F15,0)</f>
        <v>234000</v>
      </c>
      <c r="I15" s="7">
        <f>ROUND(IF($B$50="через отток",(IF($B$47&gt;0,G15/$B$47,0)*$B$48+IF($B$47&gt;0,MAX(0,G15/$B$47-G14/$B$47),0))*$B$49,$B$46),0)</f>
        <v>10000</v>
      </c>
      <c r="J15" s="7">
        <f>ROUND(H15*$B$39,0)</f>
        <v>4680</v>
      </c>
      <c r="K15" s="7">
        <f>ROUND(IF($B$41="УСН 15%",MAX(H15*0.01,(H15-($B$82+I15+J15))*0.15),IF($B$41="УСН 6%",H15*0.06,H15*$B$40)),0)</f>
        <v>14040</v>
      </c>
      <c r="L15" s="7">
        <f>H15-$B$82-I15-J15-K15</f>
        <v>120410</v>
      </c>
      <c r="M15" s="7">
        <f>M14+L15</f>
        <v>-1554300</v>
      </c>
      <c r="N15" s="10">
        <f>IF(M15&gt;=0,E15,999)</f>
        <v>999</v>
      </c>
      <c r="O15" s="10">
        <f>IF(L15&gt;0,E15,999)</f>
        <v>8</v>
      </c>
    </row>
    <row r="16" spans="1:15" x14ac:dyDescent="0.25">
      <c r="A16" t="s">
        <v>48</v>
      </c>
      <c r="B16" s="8">
        <v>400000</v>
      </c>
      <c r="C16" s="6" t="s">
        <v>49</v>
      </c>
      <c r="E16">
        <v>9</v>
      </c>
      <c r="F16" s="9">
        <f>IF(ROUND($B$45,0)=0,1,$B$44+(1-$B$44)*MIN(1,(E16-1)/ROUND($B$45,0)))</f>
        <v>1</v>
      </c>
      <c r="G16" s="10">
        <f>ROUND((($B$24+$B$26)*$B$6*$B$10+($B$25+$B$27)*$B$6*$B$11)*F16*$B$72,0)</f>
        <v>390</v>
      </c>
      <c r="H16" s="7">
        <f>ROUND(G16*(1-$B$28)*$B$9+$B$29*F16,0)</f>
        <v>234000</v>
      </c>
      <c r="I16" s="7">
        <f>ROUND(IF($B$50="через отток",(IF($B$47&gt;0,G16/$B$47,0)*$B$48+IF($B$47&gt;0,MAX(0,G16/$B$47-G15/$B$47),0))*$B$49,$B$46),0)</f>
        <v>10000</v>
      </c>
      <c r="J16" s="7">
        <f>ROUND(H16*$B$39,0)</f>
        <v>4680</v>
      </c>
      <c r="K16" s="7">
        <f>ROUND(IF($B$41="УСН 15%",MAX(H16*0.01,(H16-($B$82+I16+J16))*0.15),IF($B$41="УСН 6%",H16*0.06,H16*$B$40)),0)</f>
        <v>14040</v>
      </c>
      <c r="L16" s="7">
        <f>H16-$B$82-I16-J16-K16</f>
        <v>120410</v>
      </c>
      <c r="M16" s="7">
        <f>M15+L16</f>
        <v>-1433890</v>
      </c>
      <c r="N16" s="10">
        <f>IF(M16&gt;=0,E16,999)</f>
        <v>999</v>
      </c>
      <c r="O16" s="10">
        <f>IF(L16&gt;0,E16,999)</f>
        <v>9</v>
      </c>
    </row>
    <row r="17" spans="1:15" x14ac:dyDescent="0.25">
      <c r="A17" t="s">
        <v>50</v>
      </c>
      <c r="B17" s="8">
        <v>0</v>
      </c>
      <c r="C17" s="6" t="s">
        <v>51</v>
      </c>
      <c r="E17">
        <v>10</v>
      </c>
      <c r="F17" s="9">
        <f>IF(ROUND($B$45,0)=0,1,$B$44+(1-$B$44)*MIN(1,(E17-1)/ROUND($B$45,0)))</f>
        <v>1</v>
      </c>
      <c r="G17" s="10">
        <f>ROUND((($B$24+$B$26)*$B$6*$B$10+($B$25+$B$27)*$B$6*$B$11)*F17*$B$72,0)</f>
        <v>390</v>
      </c>
      <c r="H17" s="7">
        <f>ROUND(G17*(1-$B$28)*$B$9+$B$29*F17,0)</f>
        <v>234000</v>
      </c>
      <c r="I17" s="7">
        <f>ROUND(IF($B$50="через отток",(IF($B$47&gt;0,G17/$B$47,0)*$B$48+IF($B$47&gt;0,MAX(0,G17/$B$47-G16/$B$47),0))*$B$49,$B$46),0)</f>
        <v>10000</v>
      </c>
      <c r="J17" s="7">
        <f>ROUND(H17*$B$39,0)</f>
        <v>4680</v>
      </c>
      <c r="K17" s="7">
        <f>ROUND(IF($B$41="УСН 15%",MAX(H17*0.01,(H17-($B$82+I17+J17))*0.15),IF($B$41="УСН 6%",H17*0.06,H17*$B$40)),0)</f>
        <v>14040</v>
      </c>
      <c r="L17" s="7">
        <f>H17-$B$82-I17-J17-K17</f>
        <v>120410</v>
      </c>
      <c r="M17" s="7">
        <f>M16+L17</f>
        <v>-1313480</v>
      </c>
      <c r="N17" s="10">
        <f>IF(M17&gt;=0,E17,999)</f>
        <v>999</v>
      </c>
      <c r="O17" s="10">
        <f>IF(L17&gt;0,E17,999)</f>
        <v>10</v>
      </c>
    </row>
    <row r="18" spans="1:15" x14ac:dyDescent="0.25">
      <c r="A18" t="s">
        <v>52</v>
      </c>
      <c r="B18" s="5">
        <v>0</v>
      </c>
      <c r="C18" s="6" t="s">
        <v>53</v>
      </c>
      <c r="E18">
        <v>11</v>
      </c>
      <c r="F18" s="9">
        <f>IF(ROUND($B$45,0)=0,1,$B$44+(1-$B$44)*MIN(1,(E18-1)/ROUND($B$45,0)))</f>
        <v>1</v>
      </c>
      <c r="G18" s="10">
        <f>ROUND((($B$24+$B$26)*$B$6*$B$10+($B$25+$B$27)*$B$6*$B$11)*F18*$B$72,0)</f>
        <v>390</v>
      </c>
      <c r="H18" s="7">
        <f>ROUND(G18*(1-$B$28)*$B$9+$B$29*F18,0)</f>
        <v>234000</v>
      </c>
      <c r="I18" s="7">
        <f>ROUND(IF($B$50="через отток",(IF($B$47&gt;0,G18/$B$47,0)*$B$48+IF($B$47&gt;0,MAX(0,G18/$B$47-G17/$B$47),0))*$B$49,$B$46),0)</f>
        <v>10000</v>
      </c>
      <c r="J18" s="7">
        <f>ROUND(H18*$B$39,0)</f>
        <v>4680</v>
      </c>
      <c r="K18" s="7">
        <f>ROUND(IF($B$41="УСН 15%",MAX(H18*0.01,(H18-($B$82+I18+J18))*0.15),IF($B$41="УСН 6%",H18*0.06,H18*$B$40)),0)</f>
        <v>14040</v>
      </c>
      <c r="L18" s="7">
        <f>H18-$B$82-I18-J18-K18</f>
        <v>120410</v>
      </c>
      <c r="M18" s="7">
        <f>M17+L18</f>
        <v>-1193070</v>
      </c>
      <c r="N18" s="10">
        <f>IF(M18&gt;=0,E18,999)</f>
        <v>999</v>
      </c>
      <c r="O18" s="10">
        <f>IF(L18&gt;0,E18,999)</f>
        <v>11</v>
      </c>
    </row>
    <row r="19" spans="1:15" x14ac:dyDescent="0.25">
      <c r="A19" t="s">
        <v>54</v>
      </c>
      <c r="B19" s="8">
        <v>50000</v>
      </c>
      <c r="C19" s="6" t="s">
        <v>55</v>
      </c>
      <c r="E19">
        <v>12</v>
      </c>
      <c r="F19" s="9">
        <f>IF(ROUND($B$45,0)=0,1,$B$44+(1-$B$44)*MIN(1,(E19-1)/ROUND($B$45,0)))</f>
        <v>1</v>
      </c>
      <c r="G19" s="10">
        <f>ROUND((($B$24+$B$26)*$B$6*$B$10+($B$25+$B$27)*$B$6*$B$11)*F19*$B$72,0)</f>
        <v>390</v>
      </c>
      <c r="H19" s="7">
        <f>ROUND(G19*(1-$B$28)*$B$9+$B$29*F19,0)</f>
        <v>234000</v>
      </c>
      <c r="I19" s="7">
        <f>ROUND(IF($B$50="через отток",(IF($B$47&gt;0,G19/$B$47,0)*$B$48+IF($B$47&gt;0,MAX(0,G19/$B$47-G18/$B$47),0))*$B$49,$B$46),0)</f>
        <v>10000</v>
      </c>
      <c r="J19" s="7">
        <f>ROUND(H19*$B$39,0)</f>
        <v>4680</v>
      </c>
      <c r="K19" s="7">
        <f>ROUND(IF($B$41="УСН 15%",MAX(H19*0.01,(H19-($B$82+I19+J19))*0.15),IF($B$41="УСН 6%",H19*0.06,H19*$B$40)),0)</f>
        <v>14040</v>
      </c>
      <c r="L19" s="7">
        <f>H19-$B$82-I19-J19-K19</f>
        <v>120410</v>
      </c>
      <c r="M19" s="7">
        <f>M18+L19</f>
        <v>-1072660</v>
      </c>
      <c r="N19" s="10">
        <f>IF(M19&gt;=0,E19,999)</f>
        <v>999</v>
      </c>
      <c r="O19" s="10">
        <f>IF(L19&gt;0,E19,999)</f>
        <v>12</v>
      </c>
    </row>
    <row r="20" spans="1:15" x14ac:dyDescent="0.25">
      <c r="A20" t="s">
        <v>56</v>
      </c>
      <c r="B20" s="11">
        <v>0.1</v>
      </c>
      <c r="C20" s="6" t="s">
        <v>57</v>
      </c>
      <c r="E20">
        <v>13</v>
      </c>
      <c r="F20" s="9">
        <f>IF(ROUND($B$45,0)=0,1,$B$44+(1-$B$44)*MIN(1,(E20-1)/ROUND($B$45,0)))</f>
        <v>1</v>
      </c>
      <c r="G20" s="10">
        <f>ROUND((($B$24+$B$26)*$B$6*$B$10+($B$25+$B$27)*$B$6*$B$11)*F20*$B$72,0)</f>
        <v>390</v>
      </c>
      <c r="H20" s="7">
        <f>ROUND(G20*(1-$B$28)*$B$9+$B$29*F20,0)</f>
        <v>234000</v>
      </c>
      <c r="I20" s="7">
        <f>ROUND(IF($B$50="через отток",(IF($B$47&gt;0,G20/$B$47,0)*$B$48+IF($B$47&gt;0,MAX(0,G20/$B$47-G19/$B$47),0))*$B$49,$B$46),0)</f>
        <v>10000</v>
      </c>
      <c r="J20" s="7">
        <f>ROUND(H20*$B$39,0)</f>
        <v>4680</v>
      </c>
      <c r="K20" s="7">
        <f>ROUND(IF($B$41="УСН 15%",MAX(H20*0.01,(H20-($B$82+I20+J20))*0.15),IF($B$41="УСН 6%",H20*0.06,H20*$B$40)),0)</f>
        <v>14040</v>
      </c>
      <c r="L20" s="7">
        <f>H20-$B$82-I20-J20-K20</f>
        <v>120410</v>
      </c>
      <c r="M20" s="7">
        <f>M19+L20</f>
        <v>-952250</v>
      </c>
      <c r="N20" s="10">
        <f>IF(M20&gt;=0,E20,999)</f>
        <v>999</v>
      </c>
      <c r="O20" s="10">
        <f>IF(L20&gt;0,E20,999)</f>
        <v>13</v>
      </c>
    </row>
    <row r="21" spans="1:15" x14ac:dyDescent="0.25">
      <c r="A21" t="s">
        <v>140</v>
      </c>
      <c r="B21" s="8">
        <v>23000</v>
      </c>
      <c r="C21" s="6" t="s">
        <v>141</v>
      </c>
      <c r="E21">
        <v>14</v>
      </c>
      <c r="F21" s="9">
        <f>IF(ROUND($B$45,0)=0,1,$B$44+(1-$B$44)*MIN(1,(E21-1)/ROUND($B$45,0)))</f>
        <v>1</v>
      </c>
      <c r="G21" s="10">
        <f>ROUND((($B$24+$B$26)*$B$6*$B$10+($B$25+$B$27)*$B$6*$B$11)*F21*$B$72,0)</f>
        <v>390</v>
      </c>
      <c r="H21" s="7">
        <f>ROUND(G21*(1-$B$28)*$B$9+$B$29*F21,0)</f>
        <v>234000</v>
      </c>
      <c r="I21" s="7">
        <f>ROUND(IF($B$50="через отток",(IF($B$47&gt;0,G21/$B$47,0)*$B$48+IF($B$47&gt;0,MAX(0,G21/$B$47-G20/$B$47),0))*$B$49,$B$46),0)</f>
        <v>10000</v>
      </c>
      <c r="J21" s="7">
        <f>ROUND(H21*$B$39,0)</f>
        <v>4680</v>
      </c>
      <c r="K21" s="7">
        <f>ROUND(IF($B$41="УСН 15%",MAX(H21*0.01,(H21-($B$82+I21+J21))*0.15),IF($B$41="УСН 6%",H21*0.06,H21*$B$40)),0)</f>
        <v>14040</v>
      </c>
      <c r="L21" s="7">
        <f>H21-$B$82-I21-J21-K21</f>
        <v>120410</v>
      </c>
      <c r="M21" s="7">
        <f>M20+L21</f>
        <v>-831840</v>
      </c>
      <c r="N21" s="10">
        <f>IF(M21&gt;=0,E21,999)</f>
        <v>999</v>
      </c>
      <c r="O21" s="10">
        <f>IF(L21&gt;0,E21,999)</f>
        <v>14</v>
      </c>
    </row>
    <row r="22" spans="5:15" x14ac:dyDescent="0.25">
      <c r="E22">
        <v>15</v>
      </c>
      <c r="F22" s="9">
        <f>IF(ROUND($B$45,0)=0,1,$B$44+(1-$B$44)*MIN(1,(E22-1)/ROUND($B$45,0)))</f>
        <v>1</v>
      </c>
      <c r="G22" s="10">
        <f>ROUND((($B$24+$B$26)*$B$6*$B$10+($B$25+$B$27)*$B$6*$B$11)*F22*$B$72,0)</f>
        <v>390</v>
      </c>
      <c r="H22" s="7">
        <f>ROUND(G22*(1-$B$28)*$B$9+$B$29*F22,0)</f>
        <v>234000</v>
      </c>
      <c r="I22" s="7">
        <f>ROUND(IF($B$50="через отток",(IF($B$47&gt;0,G22/$B$47,0)*$B$48+IF($B$47&gt;0,MAX(0,G22/$B$47-G21/$B$47),0))*$B$49,$B$46),0)</f>
        <v>10000</v>
      </c>
      <c r="J22" s="7">
        <f>ROUND(H22*$B$39,0)</f>
        <v>4680</v>
      </c>
      <c r="K22" s="7">
        <f>ROUND(IF($B$41="УСН 15%",MAX(H22*0.01,(H22-($B$82+I22+J22))*0.15),IF($B$41="УСН 6%",H22*0.06,H22*$B$40)),0)</f>
        <v>14040</v>
      </c>
      <c r="L22" s="7">
        <f>H22-$B$82-I22-J22-K22</f>
        <v>120410</v>
      </c>
      <c r="M22" s="7">
        <f>M21+L22</f>
        <v>-711430</v>
      </c>
      <c r="N22" s="10">
        <f>IF(M22&gt;=0,E22,999)</f>
        <v>999</v>
      </c>
      <c r="O22" s="10">
        <f>IF(L22&gt;0,E22,999)</f>
        <v>15</v>
      </c>
    </row>
    <row r="23" spans="1:15" x14ac:dyDescent="0.25">
      <c r="A23" s="4" t="s">
        <v>60</v>
      </c>
      <c r="B23" s="4"/>
      <c r="C23" s="4"/>
      <c r="E23">
        <v>16</v>
      </c>
      <c r="F23" s="9">
        <f>IF(ROUND($B$45,0)=0,1,$B$44+(1-$B$44)*MIN(1,(E23-1)/ROUND($B$45,0)))</f>
        <v>1</v>
      </c>
      <c r="G23" s="10">
        <f>ROUND((($B$24+$B$26)*$B$6*$B$10+($B$25+$B$27)*$B$6*$B$11)*F23*$B$72,0)</f>
        <v>390</v>
      </c>
      <c r="H23" s="7">
        <f>ROUND(G23*(1-$B$28)*$B$9+$B$29*F23,0)</f>
        <v>234000</v>
      </c>
      <c r="I23" s="7">
        <f>ROUND(IF($B$50="через отток",(IF($B$47&gt;0,G23/$B$47,0)*$B$48+IF($B$47&gt;0,MAX(0,G23/$B$47-G22/$B$47),0))*$B$49,$B$46),0)</f>
        <v>10000</v>
      </c>
      <c r="J23" s="7">
        <f>ROUND(H23*$B$39,0)</f>
        <v>4680</v>
      </c>
      <c r="K23" s="7">
        <f>ROUND(IF($B$41="УСН 15%",MAX(H23*0.01,(H23-($B$82+I23+J23))*0.15),IF($B$41="УСН 6%",H23*0.06,H23*$B$40)),0)</f>
        <v>14040</v>
      </c>
      <c r="L23" s="7">
        <f>H23-$B$82-I23-J23-K23</f>
        <v>120410</v>
      </c>
      <c r="M23" s="7">
        <f>M22+L23</f>
        <v>-591020</v>
      </c>
      <c r="N23" s="10">
        <f>IF(M23&gt;=0,E23,999)</f>
        <v>999</v>
      </c>
      <c r="O23" s="10">
        <f>IF(L23&gt;0,E23,999)</f>
        <v>16</v>
      </c>
    </row>
    <row r="24" spans="1:15" x14ac:dyDescent="0.25">
      <c r="A24" t="s">
        <v>61</v>
      </c>
      <c r="B24" s="5">
        <v>10</v>
      </c>
      <c r="C24" s="6" t="s">
        <v>62</v>
      </c>
      <c r="E24">
        <v>17</v>
      </c>
      <c r="F24" s="9">
        <f>IF(ROUND($B$45,0)=0,1,$B$44+(1-$B$44)*MIN(1,(E24-1)/ROUND($B$45,0)))</f>
        <v>1</v>
      </c>
      <c r="G24" s="10">
        <f>ROUND((($B$24+$B$26)*$B$6*$B$10+($B$25+$B$27)*$B$6*$B$11)*F24*$B$72,0)</f>
        <v>390</v>
      </c>
      <c r="H24" s="7">
        <f>ROUND(G24*(1-$B$28)*$B$9+$B$29*F24,0)</f>
        <v>234000</v>
      </c>
      <c r="I24" s="7">
        <f>ROUND(IF($B$50="через отток",(IF($B$47&gt;0,G24/$B$47,0)*$B$48+IF($B$47&gt;0,MAX(0,G24/$B$47-G23/$B$47),0))*$B$49,$B$46),0)</f>
        <v>10000</v>
      </c>
      <c r="J24" s="7">
        <f>ROUND(H24*$B$39,0)</f>
        <v>4680</v>
      </c>
      <c r="K24" s="7">
        <f>ROUND(IF($B$41="УСН 15%",MAX(H24*0.01,(H24-($B$82+I24+J24))*0.15),IF($B$41="УСН 6%",H24*0.06,H24*$B$40)),0)</f>
        <v>14040</v>
      </c>
      <c r="L24" s="7">
        <f>H24-$B$82-I24-J24-K24</f>
        <v>120410</v>
      </c>
      <c r="M24" s="7">
        <f>M23+L24</f>
        <v>-470610</v>
      </c>
      <c r="N24" s="10">
        <f>IF(M24&gt;=0,E24,999)</f>
        <v>999</v>
      </c>
      <c r="O24" s="10">
        <f>IF(L24&gt;0,E24,999)</f>
        <v>17</v>
      </c>
    </row>
    <row r="25" spans="1:15" x14ac:dyDescent="0.25">
      <c r="A25" t="s">
        <v>63</v>
      </c>
      <c r="B25" s="5">
        <v>2</v>
      </c>
      <c r="C25" s="6" t="s">
        <v>62</v>
      </c>
      <c r="E25">
        <v>18</v>
      </c>
      <c r="F25" s="9">
        <f>IF(ROUND($B$45,0)=0,1,$B$44+(1-$B$44)*MIN(1,(E25-1)/ROUND($B$45,0)))</f>
        <v>1</v>
      </c>
      <c r="G25" s="10">
        <f>ROUND((($B$24+$B$26)*$B$6*$B$10+($B$25+$B$27)*$B$6*$B$11)*F25*$B$72,0)</f>
        <v>390</v>
      </c>
      <c r="H25" s="7">
        <f>ROUND(G25*(1-$B$28)*$B$9+$B$29*F25,0)</f>
        <v>234000</v>
      </c>
      <c r="I25" s="7">
        <f>ROUND(IF($B$50="через отток",(IF($B$47&gt;0,G25/$B$47,0)*$B$48+IF($B$47&gt;0,MAX(0,G25/$B$47-G24/$B$47),0))*$B$49,$B$46),0)</f>
        <v>10000</v>
      </c>
      <c r="J25" s="7">
        <f>ROUND(H25*$B$39,0)</f>
        <v>4680</v>
      </c>
      <c r="K25" s="7">
        <f>ROUND(IF($B$41="УСН 15%",MAX(H25*0.01,(H25-($B$82+I25+J25))*0.15),IF($B$41="УСН 6%",H25*0.06,H25*$B$40)),0)</f>
        <v>14040</v>
      </c>
      <c r="L25" s="7">
        <f>H25-$B$82-I25-J25-K25</f>
        <v>120410</v>
      </c>
      <c r="M25" s="7">
        <f>M24+L25</f>
        <v>-350200</v>
      </c>
      <c r="N25" s="10">
        <f>IF(M25&gt;=0,E25,999)</f>
        <v>999</v>
      </c>
      <c r="O25" s="10">
        <f>IF(L25&gt;0,E25,999)</f>
        <v>18</v>
      </c>
    </row>
    <row r="26" spans="1:15" x14ac:dyDescent="0.25">
      <c r="A26" t="s">
        <v>64</v>
      </c>
      <c r="B26" s="5">
        <v>0</v>
      </c>
      <c r="C26" s="6" t="s">
        <v>62</v>
      </c>
      <c r="E26">
        <v>19</v>
      </c>
      <c r="F26" s="9">
        <f>IF(ROUND($B$45,0)=0,1,$B$44+(1-$B$44)*MIN(1,(E26-1)/ROUND($B$45,0)))</f>
        <v>1</v>
      </c>
      <c r="G26" s="10">
        <f>ROUND((($B$24+$B$26)*$B$6*$B$10+($B$25+$B$27)*$B$6*$B$11)*F26*$B$72,0)</f>
        <v>390</v>
      </c>
      <c r="H26" s="7">
        <f>ROUND(G26*(1-$B$28)*$B$9+$B$29*F26,0)</f>
        <v>234000</v>
      </c>
      <c r="I26" s="7">
        <f>ROUND(IF($B$50="через отток",(IF($B$47&gt;0,G26/$B$47,0)*$B$48+IF($B$47&gt;0,MAX(0,G26/$B$47-G25/$B$47),0))*$B$49,$B$46),0)</f>
        <v>10000</v>
      </c>
      <c r="J26" s="7">
        <f>ROUND(H26*$B$39,0)</f>
        <v>4680</v>
      </c>
      <c r="K26" s="7">
        <f>ROUND(IF($B$41="УСН 15%",MAX(H26*0.01,(H26-($B$82+I26+J26))*0.15),IF($B$41="УСН 6%",H26*0.06,H26*$B$40)),0)</f>
        <v>14040</v>
      </c>
      <c r="L26" s="7">
        <f>H26-$B$82-I26-J26-K26</f>
        <v>120410</v>
      </c>
      <c r="M26" s="7">
        <f>M25+L26</f>
        <v>-229790</v>
      </c>
      <c r="N26" s="10">
        <f>IF(M26&gt;=0,E26,999)</f>
        <v>999</v>
      </c>
      <c r="O26" s="10">
        <f>IF(L26&gt;0,E26,999)</f>
        <v>19</v>
      </c>
    </row>
    <row r="27" spans="1:15" x14ac:dyDescent="0.25">
      <c r="A27" t="s">
        <v>65</v>
      </c>
      <c r="B27" s="5">
        <v>8</v>
      </c>
      <c r="C27" s="6" t="s">
        <v>66</v>
      </c>
      <c r="E27">
        <v>20</v>
      </c>
      <c r="F27" s="9">
        <f>IF(ROUND($B$45,0)=0,1,$B$44+(1-$B$44)*MIN(1,(E27-1)/ROUND($B$45,0)))</f>
        <v>1</v>
      </c>
      <c r="G27" s="10">
        <f>ROUND((($B$24+$B$26)*$B$6*$B$10+($B$25+$B$27)*$B$6*$B$11)*F27*$B$72,0)</f>
        <v>390</v>
      </c>
      <c r="H27" s="7">
        <f>ROUND(G27*(1-$B$28)*$B$9+$B$29*F27,0)</f>
        <v>234000</v>
      </c>
      <c r="I27" s="7">
        <f>ROUND(IF($B$50="через отток",(IF($B$47&gt;0,G27/$B$47,0)*$B$48+IF($B$47&gt;0,MAX(0,G27/$B$47-G26/$B$47),0))*$B$49,$B$46),0)</f>
        <v>10000</v>
      </c>
      <c r="J27" s="7">
        <f>ROUND(H27*$B$39,0)</f>
        <v>4680</v>
      </c>
      <c r="K27" s="7">
        <f>ROUND(IF($B$41="УСН 15%",MAX(H27*0.01,(H27-($B$82+I27+J27))*0.15),IF($B$41="УСН 6%",H27*0.06,H27*$B$40)),0)</f>
        <v>14040</v>
      </c>
      <c r="L27" s="7">
        <f>H27-$B$82-I27-J27-K27</f>
        <v>120410</v>
      </c>
      <c r="M27" s="7">
        <f>M26+L27</f>
        <v>-109380</v>
      </c>
      <c r="N27" s="10">
        <f>IF(M27&gt;=0,E27,999)</f>
        <v>999</v>
      </c>
      <c r="O27" s="10">
        <f>IF(L27&gt;0,E27,999)</f>
        <v>20</v>
      </c>
    </row>
    <row r="28" spans="1:15" x14ac:dyDescent="0.25">
      <c r="A28" t="s">
        <v>67</v>
      </c>
      <c r="B28" s="11">
        <v>0</v>
      </c>
      <c r="C28" s="6" t="s">
        <v>68</v>
      </c>
      <c r="E28">
        <v>21</v>
      </c>
      <c r="F28" s="9">
        <f>IF(ROUND($B$45,0)=0,1,$B$44+(1-$B$44)*MIN(1,(E28-1)/ROUND($B$45,0)))</f>
        <v>1</v>
      </c>
      <c r="G28" s="10">
        <f>ROUND((($B$24+$B$26)*$B$6*$B$10+($B$25+$B$27)*$B$6*$B$11)*F28*$B$72,0)</f>
        <v>390</v>
      </c>
      <c r="H28" s="7">
        <f>ROUND(G28*(1-$B$28)*$B$9+$B$29*F28,0)</f>
        <v>234000</v>
      </c>
      <c r="I28" s="7">
        <f>ROUND(IF($B$50="через отток",(IF($B$47&gt;0,G28/$B$47,0)*$B$48+IF($B$47&gt;0,MAX(0,G28/$B$47-G27/$B$47),0))*$B$49,$B$46),0)</f>
        <v>10000</v>
      </c>
      <c r="J28" s="7">
        <f>ROUND(H28*$B$39,0)</f>
        <v>4680</v>
      </c>
      <c r="K28" s="7">
        <f>ROUND(IF($B$41="УСН 15%",MAX(H28*0.01,(H28-($B$82+I28+J28))*0.15),IF($B$41="УСН 6%",H28*0.06,H28*$B$40)),0)</f>
        <v>14040</v>
      </c>
      <c r="L28" s="7">
        <f>H28-$B$82-I28-J28-K28</f>
        <v>120410</v>
      </c>
      <c r="M28" s="7">
        <f>M27+L28</f>
        <v>11030</v>
      </c>
      <c r="N28" s="10">
        <f>IF(M28&gt;=0,E28,999)</f>
        <v>21</v>
      </c>
      <c r="O28" s="10">
        <f>IF(L28&gt;0,E28,999)</f>
        <v>21</v>
      </c>
    </row>
    <row r="29" spans="1:15" x14ac:dyDescent="0.25">
      <c r="A29" t="s">
        <v>69</v>
      </c>
      <c r="B29" s="8">
        <v>0</v>
      </c>
      <c r="C29" s="6" t="s">
        <v>70</v>
      </c>
      <c r="E29">
        <v>22</v>
      </c>
      <c r="F29" s="9">
        <f>IF(ROUND($B$45,0)=0,1,$B$44+(1-$B$44)*MIN(1,(E29-1)/ROUND($B$45,0)))</f>
        <v>1</v>
      </c>
      <c r="G29" s="10">
        <f>ROUND((($B$24+$B$26)*$B$6*$B$10+($B$25+$B$27)*$B$6*$B$11)*F29*$B$72,0)</f>
        <v>390</v>
      </c>
      <c r="H29" s="7">
        <f>ROUND(G29*(1-$B$28)*$B$9+$B$29*F29,0)</f>
        <v>234000</v>
      </c>
      <c r="I29" s="7">
        <f>ROUND(IF($B$50="через отток",(IF($B$47&gt;0,G29/$B$47,0)*$B$48+IF($B$47&gt;0,MAX(0,G29/$B$47-G28/$B$47),0))*$B$49,$B$46),0)</f>
        <v>10000</v>
      </c>
      <c r="J29" s="7">
        <f>ROUND(H29*$B$39,0)</f>
        <v>4680</v>
      </c>
      <c r="K29" s="7">
        <f>ROUND(IF($B$41="УСН 15%",MAX(H29*0.01,(H29-($B$82+I29+J29))*0.15),IF($B$41="УСН 6%",H29*0.06,H29*$B$40)),0)</f>
        <v>14040</v>
      </c>
      <c r="L29" s="7">
        <f>H29-$B$82-I29-J29-K29</f>
        <v>120410</v>
      </c>
      <c r="M29" s="7">
        <f>M28+L29</f>
        <v>131440</v>
      </c>
      <c r="N29" s="10">
        <f>IF(M29&gt;=0,E29,999)</f>
        <v>22</v>
      </c>
      <c r="O29" s="10">
        <f>IF(L29&gt;0,E29,999)</f>
        <v>22</v>
      </c>
    </row>
    <row r="30" spans="5:15" x14ac:dyDescent="0.25">
      <c r="E30">
        <v>23</v>
      </c>
      <c r="F30" s="9">
        <f>IF(ROUND($B$45,0)=0,1,$B$44+(1-$B$44)*MIN(1,(E30-1)/ROUND($B$45,0)))</f>
        <v>1</v>
      </c>
      <c r="G30" s="10">
        <f>ROUND((($B$24+$B$26)*$B$6*$B$10+($B$25+$B$27)*$B$6*$B$11)*F30*$B$72,0)</f>
        <v>390</v>
      </c>
      <c r="H30" s="7">
        <f>ROUND(G30*(1-$B$28)*$B$9+$B$29*F30,0)</f>
        <v>234000</v>
      </c>
      <c r="I30" s="7">
        <f>ROUND(IF($B$50="через отток",(IF($B$47&gt;0,G30/$B$47,0)*$B$48+IF($B$47&gt;0,MAX(0,G30/$B$47-G29/$B$47),0))*$B$49,$B$46),0)</f>
        <v>10000</v>
      </c>
      <c r="J30" s="7">
        <f>ROUND(H30*$B$39,0)</f>
        <v>4680</v>
      </c>
      <c r="K30" s="7">
        <f>ROUND(IF($B$41="УСН 15%",MAX(H30*0.01,(H30-($B$82+I30+J30))*0.15),IF($B$41="УСН 6%",H30*0.06,H30*$B$40)),0)</f>
        <v>14040</v>
      </c>
      <c r="L30" s="7">
        <f>H30-$B$82-I30-J30-K30</f>
        <v>120410</v>
      </c>
      <c r="M30" s="7">
        <f>M29+L30</f>
        <v>251850</v>
      </c>
      <c r="N30" s="10">
        <f>IF(M30&gt;=0,E30,999)</f>
        <v>23</v>
      </c>
      <c r="O30" s="10">
        <f>IF(L30&gt;0,E30,999)</f>
        <v>23</v>
      </c>
    </row>
    <row r="31" spans="1:15" x14ac:dyDescent="0.25">
      <c r="A31" s="4" t="s">
        <v>71</v>
      </c>
      <c r="B31" s="4"/>
      <c r="C31" s="4"/>
      <c r="E31">
        <v>24</v>
      </c>
      <c r="F31" s="9">
        <f>IF(ROUND($B$45,0)=0,1,$B$44+(1-$B$44)*MIN(1,(E31-1)/ROUND($B$45,0)))</f>
        <v>1</v>
      </c>
      <c r="G31" s="10">
        <f>ROUND((($B$24+$B$26)*$B$6*$B$10+($B$25+$B$27)*$B$6*$B$11)*F31*$B$72,0)</f>
        <v>390</v>
      </c>
      <c r="H31" s="7">
        <f>ROUND(G31*(1-$B$28)*$B$9+$B$29*F31,0)</f>
        <v>234000</v>
      </c>
      <c r="I31" s="7">
        <f>ROUND(IF($B$50="через отток",(IF($B$47&gt;0,G31/$B$47,0)*$B$48+IF($B$47&gt;0,MAX(0,G31/$B$47-G30/$B$47),0))*$B$49,$B$46),0)</f>
        <v>10000</v>
      </c>
      <c r="J31" s="7">
        <f>ROUND(H31*$B$39,0)</f>
        <v>4680</v>
      </c>
      <c r="K31" s="7">
        <f>ROUND(IF($B$41="УСН 15%",MAX(H31*0.01,(H31-($B$82+I31+J31))*0.15),IF($B$41="УСН 6%",H31*0.06,H31*$B$40)),0)</f>
        <v>14040</v>
      </c>
      <c r="L31" s="7">
        <f>H31-$B$82-I31-J31-K31</f>
        <v>120410</v>
      </c>
      <c r="M31" s="7">
        <f>M30+L31</f>
        <v>372260</v>
      </c>
      <c r="N31" s="10">
        <f>IF(M31&gt;=0,E31,999)</f>
        <v>24</v>
      </c>
      <c r="O31" s="10">
        <f>IF(L31&gt;0,E31,999)</f>
        <v>24</v>
      </c>
    </row>
    <row r="32" spans="1:15" x14ac:dyDescent="0.25">
      <c r="A32" t="s">
        <v>72</v>
      </c>
      <c r="B32" s="8">
        <v>1500</v>
      </c>
      <c r="E32">
        <v>25</v>
      </c>
      <c r="F32" s="9">
        <f>IF(ROUND($B$45,0)=0,1,$B$44+(1-$B$44)*MIN(1,(E32-1)/ROUND($B$45,0)))</f>
        <v>1</v>
      </c>
      <c r="G32" s="10">
        <f>ROUND((($B$24+$B$26)*$B$6*$B$10+($B$25+$B$27)*$B$6*$B$11)*F32*$B$72,0)</f>
        <v>390</v>
      </c>
      <c r="H32" s="7">
        <f>ROUND(G32*(1-$B$28)*$B$9+$B$29*F32,0)</f>
        <v>234000</v>
      </c>
      <c r="I32" s="7">
        <f>ROUND(IF($B$50="через отток",(IF($B$47&gt;0,G32/$B$47,0)*$B$48+IF($B$47&gt;0,MAX(0,G32/$B$47-G31/$B$47),0))*$B$49,$B$46),0)</f>
        <v>10000</v>
      </c>
      <c r="J32" s="7">
        <f>ROUND(H32*$B$39,0)</f>
        <v>4680</v>
      </c>
      <c r="K32" s="7">
        <f>ROUND(IF($B$41="УСН 15%",MAX(H32*0.01,(H32-($B$82+I32+J32))*0.15),IF($B$41="УСН 6%",H32*0.06,H32*$B$40)),0)</f>
        <v>14040</v>
      </c>
      <c r="L32" s="7">
        <f>H32-$B$82-I32-J32-K32</f>
        <v>120410</v>
      </c>
      <c r="M32" s="7">
        <f>M31+L32</f>
        <v>492670</v>
      </c>
      <c r="N32" s="10">
        <f>IF(M32&gt;=0,E32,999)</f>
        <v>25</v>
      </c>
      <c r="O32" s="10">
        <f>IF(L32&gt;0,E32,999)</f>
        <v>25</v>
      </c>
    </row>
    <row r="33" spans="1:15" x14ac:dyDescent="0.25">
      <c r="A33" t="s">
        <v>73</v>
      </c>
      <c r="B33" s="8">
        <v>0</v>
      </c>
      <c r="C33" s="6" t="s">
        <v>74</v>
      </c>
      <c r="E33">
        <v>26</v>
      </c>
      <c r="F33" s="9">
        <f>IF(ROUND($B$45,0)=0,1,$B$44+(1-$B$44)*MIN(1,(E33-1)/ROUND($B$45,0)))</f>
        <v>1</v>
      </c>
      <c r="G33" s="10">
        <f>ROUND((($B$24+$B$26)*$B$6*$B$10+($B$25+$B$27)*$B$6*$B$11)*F33*$B$72,0)</f>
        <v>390</v>
      </c>
      <c r="H33" s="7">
        <f>ROUND(G33*(1-$B$28)*$B$9+$B$29*F33,0)</f>
        <v>234000</v>
      </c>
      <c r="I33" s="7">
        <f>ROUND(IF($B$50="через отток",(IF($B$47&gt;0,G33/$B$47,0)*$B$48+IF($B$47&gt;0,MAX(0,G33/$B$47-G32/$B$47),0))*$B$49,$B$46),0)</f>
        <v>10000</v>
      </c>
      <c r="J33" s="7">
        <f>ROUND(H33*$B$39,0)</f>
        <v>4680</v>
      </c>
      <c r="K33" s="7">
        <f>ROUND(IF($B$41="УСН 15%",MAX(H33*0.01,(H33-($B$82+I33+J33))*0.15),IF($B$41="УСН 6%",H33*0.06,H33*$B$40)),0)</f>
        <v>14040</v>
      </c>
      <c r="L33" s="7">
        <f>H33-$B$82-I33-J33-K33</f>
        <v>120410</v>
      </c>
      <c r="M33" s="7">
        <f>M32+L33</f>
        <v>613080</v>
      </c>
      <c r="N33" s="10">
        <f>IF(M33&gt;=0,E33,999)</f>
        <v>26</v>
      </c>
      <c r="O33" s="10">
        <f>IF(L33&gt;0,E33,999)</f>
        <v>26</v>
      </c>
    </row>
    <row r="34" spans="1:15" x14ac:dyDescent="0.25">
      <c r="A34" t="s">
        <v>75</v>
      </c>
      <c r="B34" s="8">
        <v>0</v>
      </c>
      <c r="C34" s="6" t="s">
        <v>76</v>
      </c>
      <c r="E34">
        <v>27</v>
      </c>
      <c r="F34" s="9">
        <f>IF(ROUND($B$45,0)=0,1,$B$44+(1-$B$44)*MIN(1,(E34-1)/ROUND($B$45,0)))</f>
        <v>1</v>
      </c>
      <c r="G34" s="10">
        <f>ROUND((($B$24+$B$26)*$B$6*$B$10+($B$25+$B$27)*$B$6*$B$11)*F34*$B$72,0)</f>
        <v>390</v>
      </c>
      <c r="H34" s="7">
        <f>ROUND(G34*(1-$B$28)*$B$9+$B$29*F34,0)</f>
        <v>234000</v>
      </c>
      <c r="I34" s="7">
        <f>ROUND(IF($B$50="через отток",(IF($B$47&gt;0,G34/$B$47,0)*$B$48+IF($B$47&gt;0,MAX(0,G34/$B$47-G33/$B$47),0))*$B$49,$B$46),0)</f>
        <v>10000</v>
      </c>
      <c r="J34" s="7">
        <f>ROUND(H34*$B$39,0)</f>
        <v>4680</v>
      </c>
      <c r="K34" s="7">
        <f>ROUND(IF($B$41="УСН 15%",MAX(H34*0.01,(H34-($B$82+I34+J34))*0.15),IF($B$41="УСН 6%",H34*0.06,H34*$B$40)),0)</f>
        <v>14040</v>
      </c>
      <c r="L34" s="7">
        <f>H34-$B$82-I34-J34-K34</f>
        <v>120410</v>
      </c>
      <c r="M34" s="7">
        <f>M33+L34</f>
        <v>733490</v>
      </c>
      <c r="N34" s="10">
        <f>IF(M34&gt;=0,E34,999)</f>
        <v>27</v>
      </c>
      <c r="O34" s="10">
        <f>IF(L34&gt;0,E34,999)</f>
        <v>27</v>
      </c>
    </row>
    <row r="35" spans="1:15" x14ac:dyDescent="0.25">
      <c r="A35" t="s">
        <v>77</v>
      </c>
      <c r="B35" s="8">
        <v>0</v>
      </c>
      <c r="C35" s="6" t="s">
        <v>78</v>
      </c>
      <c r="E35">
        <v>28</v>
      </c>
      <c r="F35" s="9">
        <f>IF(ROUND($B$45,0)=0,1,$B$44+(1-$B$44)*MIN(1,(E35-1)/ROUND($B$45,0)))</f>
        <v>1</v>
      </c>
      <c r="G35" s="10">
        <f>ROUND((($B$24+$B$26)*$B$6*$B$10+($B$25+$B$27)*$B$6*$B$11)*F35*$B$72,0)</f>
        <v>390</v>
      </c>
      <c r="H35" s="7">
        <f>ROUND(G35*(1-$B$28)*$B$9+$B$29*F35,0)</f>
        <v>234000</v>
      </c>
      <c r="I35" s="7">
        <f>ROUND(IF($B$50="через отток",(IF($B$47&gt;0,G35/$B$47,0)*$B$48+IF($B$47&gt;0,MAX(0,G35/$B$47-G34/$B$47),0))*$B$49,$B$46),0)</f>
        <v>10000</v>
      </c>
      <c r="J35" s="7">
        <f>ROUND(H35*$B$39,0)</f>
        <v>4680</v>
      </c>
      <c r="K35" s="7">
        <f>ROUND(IF($B$41="УСН 15%",MAX(H35*0.01,(H35-($B$82+I35+J35))*0.15),IF($B$41="УСН 6%",H35*0.06,H35*$B$40)),0)</f>
        <v>14040</v>
      </c>
      <c r="L35" s="7">
        <f>H35-$B$82-I35-J35-K35</f>
        <v>120410</v>
      </c>
      <c r="M35" s="7">
        <f>M34+L35</f>
        <v>853900</v>
      </c>
      <c r="N35" s="10">
        <f>IF(M35&gt;=0,E35,999)</f>
        <v>28</v>
      </c>
      <c r="O35" s="10">
        <f>IF(L35&gt;0,E35,999)</f>
        <v>28</v>
      </c>
    </row>
    <row r="36" spans="1:15" x14ac:dyDescent="0.25">
      <c r="A36" t="s">
        <v>79</v>
      </c>
      <c r="B36" s="11">
        <v>0.03</v>
      </c>
      <c r="C36" s="6" t="s">
        <v>80</v>
      </c>
      <c r="E36">
        <v>29</v>
      </c>
      <c r="F36" s="9">
        <f>IF(ROUND($B$45,0)=0,1,$B$44+(1-$B$44)*MIN(1,(E36-1)/ROUND($B$45,0)))</f>
        <v>1</v>
      </c>
      <c r="G36" s="10">
        <f>ROUND((($B$24+$B$26)*$B$6*$B$10+($B$25+$B$27)*$B$6*$B$11)*F36*$B$72,0)</f>
        <v>390</v>
      </c>
      <c r="H36" s="7">
        <f>ROUND(G36*(1-$B$28)*$B$9+$B$29*F36,0)</f>
        <v>234000</v>
      </c>
      <c r="I36" s="7">
        <f>ROUND(IF($B$50="через отток",(IF($B$47&gt;0,G36/$B$47,0)*$B$48+IF($B$47&gt;0,MAX(0,G36/$B$47-G35/$B$47),0))*$B$49,$B$46),0)</f>
        <v>10000</v>
      </c>
      <c r="J36" s="7">
        <f>ROUND(H36*$B$39,0)</f>
        <v>4680</v>
      </c>
      <c r="K36" s="7">
        <f>ROUND(IF($B$41="УСН 15%",MAX(H36*0.01,(H36-($B$82+I36+J36))*0.15),IF($B$41="УСН 6%",H36*0.06,H36*$B$40)),0)</f>
        <v>14040</v>
      </c>
      <c r="L36" s="7">
        <f>H36-$B$82-I36-J36-K36</f>
        <v>120410</v>
      </c>
      <c r="M36" s="7">
        <f>M35+L36</f>
        <v>974310</v>
      </c>
      <c r="N36" s="10">
        <f>IF(M36&gt;=0,E36,999)</f>
        <v>29</v>
      </c>
      <c r="O36" s="10">
        <f>IF(L36&gt;0,E36,999)</f>
        <v>29</v>
      </c>
    </row>
    <row r="37" spans="1:15" x14ac:dyDescent="0.25">
      <c r="A37" t="s">
        <v>81</v>
      </c>
      <c r="B37" s="8">
        <v>0</v>
      </c>
      <c r="C37" s="6" t="s">
        <v>78</v>
      </c>
      <c r="E37">
        <v>30</v>
      </c>
      <c r="F37" s="9">
        <f>IF(ROUND($B$45,0)=0,1,$B$44+(1-$B$44)*MIN(1,(E37-1)/ROUND($B$45,0)))</f>
        <v>1</v>
      </c>
      <c r="G37" s="10">
        <f>ROUND((($B$24+$B$26)*$B$6*$B$10+($B$25+$B$27)*$B$6*$B$11)*F37*$B$72,0)</f>
        <v>390</v>
      </c>
      <c r="H37" s="7">
        <f>ROUND(G37*(1-$B$28)*$B$9+$B$29*F37,0)</f>
        <v>234000</v>
      </c>
      <c r="I37" s="7">
        <f>ROUND(IF($B$50="через отток",(IF($B$47&gt;0,G37/$B$47,0)*$B$48+IF($B$47&gt;0,MAX(0,G37/$B$47-G36/$B$47),0))*$B$49,$B$46),0)</f>
        <v>10000</v>
      </c>
      <c r="J37" s="7">
        <f>ROUND(H37*$B$39,0)</f>
        <v>4680</v>
      </c>
      <c r="K37" s="7">
        <f>ROUND(IF($B$41="УСН 15%",MAX(H37*0.01,(H37-($B$82+I37+J37))*0.15),IF($B$41="УСН 6%",H37*0.06,H37*$B$40)),0)</f>
        <v>14040</v>
      </c>
      <c r="L37" s="7">
        <f>H37-$B$82-I37-J37-K37</f>
        <v>120410</v>
      </c>
      <c r="M37" s="7">
        <f>M36+L37</f>
        <v>1094720</v>
      </c>
      <c r="N37" s="10">
        <f>IF(M37&gt;=0,E37,999)</f>
        <v>30</v>
      </c>
      <c r="O37" s="10">
        <f>IF(L37&gt;0,E37,999)</f>
        <v>30</v>
      </c>
    </row>
    <row r="38" spans="1:15" x14ac:dyDescent="0.25">
      <c r="A38" t="s">
        <v>82</v>
      </c>
      <c r="B38" s="8">
        <v>0</v>
      </c>
      <c r="C38" s="6" t="s">
        <v>78</v>
      </c>
      <c r="E38">
        <v>31</v>
      </c>
      <c r="F38" s="9">
        <f>IF(ROUND($B$45,0)=0,1,$B$44+(1-$B$44)*MIN(1,(E38-1)/ROUND($B$45,0)))</f>
        <v>1</v>
      </c>
      <c r="G38" s="10">
        <f>ROUND((($B$24+$B$26)*$B$6*$B$10+($B$25+$B$27)*$B$6*$B$11)*F38*$B$72,0)</f>
        <v>390</v>
      </c>
      <c r="H38" s="7">
        <f>ROUND(G38*(1-$B$28)*$B$9+$B$29*F38,0)</f>
        <v>234000</v>
      </c>
      <c r="I38" s="7">
        <f>ROUND(IF($B$50="через отток",(IF($B$47&gt;0,G38/$B$47,0)*$B$48+IF($B$47&gt;0,MAX(0,G38/$B$47-G37/$B$47),0))*$B$49,$B$46),0)</f>
        <v>10000</v>
      </c>
      <c r="J38" s="7">
        <f>ROUND(H38*$B$39,0)</f>
        <v>4680</v>
      </c>
      <c r="K38" s="7">
        <f>ROUND(IF($B$41="УСН 15%",MAX(H38*0.01,(H38-($B$82+I38+J38))*0.15),IF($B$41="УСН 6%",H38*0.06,H38*$B$40)),0)</f>
        <v>14040</v>
      </c>
      <c r="L38" s="7">
        <f>H38-$B$82-I38-J38-K38</f>
        <v>120410</v>
      </c>
      <c r="M38" s="7">
        <f>M37+L38</f>
        <v>1215130</v>
      </c>
      <c r="N38" s="10">
        <f>IF(M38&gt;=0,E38,999)</f>
        <v>31</v>
      </c>
      <c r="O38" s="10">
        <f>IF(L38&gt;0,E38,999)</f>
        <v>31</v>
      </c>
    </row>
    <row r="39" spans="1:15" x14ac:dyDescent="0.25">
      <c r="A39" t="s">
        <v>28</v>
      </c>
      <c r="B39" s="11">
        <v>0.02</v>
      </c>
      <c r="C39" s="6" t="s">
        <v>83</v>
      </c>
      <c r="E39">
        <v>32</v>
      </c>
      <c r="F39" s="9">
        <f>IF(ROUND($B$45,0)=0,1,$B$44+(1-$B$44)*MIN(1,(E39-1)/ROUND($B$45,0)))</f>
        <v>1</v>
      </c>
      <c r="G39" s="10">
        <f>ROUND((($B$24+$B$26)*$B$6*$B$10+($B$25+$B$27)*$B$6*$B$11)*F39*$B$72,0)</f>
        <v>390</v>
      </c>
      <c r="H39" s="7">
        <f>ROUND(G39*(1-$B$28)*$B$9+$B$29*F39,0)</f>
        <v>234000</v>
      </c>
      <c r="I39" s="7">
        <f>ROUND(IF($B$50="через отток",(IF($B$47&gt;0,G39/$B$47,0)*$B$48+IF($B$47&gt;0,MAX(0,G39/$B$47-G38/$B$47),0))*$B$49,$B$46),0)</f>
        <v>10000</v>
      </c>
      <c r="J39" s="7">
        <f>ROUND(H39*$B$39,0)</f>
        <v>4680</v>
      </c>
      <c r="K39" s="7">
        <f>ROUND(IF($B$41="УСН 15%",MAX(H39*0.01,(H39-($B$82+I39+J39))*0.15),IF($B$41="УСН 6%",H39*0.06,H39*$B$40)),0)</f>
        <v>14040</v>
      </c>
      <c r="L39" s="7">
        <f>H39-$B$82-I39-J39-K39</f>
        <v>120410</v>
      </c>
      <c r="M39" s="7">
        <f>M38+L39</f>
        <v>1335540</v>
      </c>
      <c r="N39" s="10">
        <f>IF(M39&gt;=0,E39,999)</f>
        <v>32</v>
      </c>
      <c r="O39" s="10">
        <f>IF(L39&gt;0,E39,999)</f>
        <v>32</v>
      </c>
    </row>
    <row r="40" spans="1:15" x14ac:dyDescent="0.25">
      <c r="A40" t="s">
        <v>84</v>
      </c>
      <c r="B40" s="11">
        <v>0.06</v>
      </c>
      <c r="C40" s="6" t="s">
        <v>85</v>
      </c>
      <c r="E40">
        <v>33</v>
      </c>
      <c r="F40" s="9">
        <f>IF(ROUND($B$45,0)=0,1,$B$44+(1-$B$44)*MIN(1,(E40-1)/ROUND($B$45,0)))</f>
        <v>1</v>
      </c>
      <c r="G40" s="10">
        <f>ROUND((($B$24+$B$26)*$B$6*$B$10+($B$25+$B$27)*$B$6*$B$11)*F40*$B$72,0)</f>
        <v>390</v>
      </c>
      <c r="H40" s="7">
        <f>ROUND(G40*(1-$B$28)*$B$9+$B$29*F40,0)</f>
        <v>234000</v>
      </c>
      <c r="I40" s="7">
        <f>ROUND(IF($B$50="через отток",(IF($B$47&gt;0,G40/$B$47,0)*$B$48+IF($B$47&gt;0,MAX(0,G40/$B$47-G39/$B$47),0))*$B$49,$B$46),0)</f>
        <v>10000</v>
      </c>
      <c r="J40" s="7">
        <f>ROUND(H40*$B$39,0)</f>
        <v>4680</v>
      </c>
      <c r="K40" s="7">
        <f>ROUND(IF($B$41="УСН 15%",MAX(H40*0.01,(H40-($B$82+I40+J40))*0.15),IF($B$41="УСН 6%",H40*0.06,H40*$B$40)),0)</f>
        <v>14040</v>
      </c>
      <c r="L40" s="7">
        <f>H40-$B$82-I40-J40-K40</f>
        <v>120410</v>
      </c>
      <c r="M40" s="7">
        <f>M39+L40</f>
        <v>1455950</v>
      </c>
      <c r="N40" s="10">
        <f>IF(M40&gt;=0,E40,999)</f>
        <v>33</v>
      </c>
      <c r="O40" s="10">
        <f>IF(L40&gt;0,E40,999)</f>
        <v>33</v>
      </c>
    </row>
    <row r="41" spans="1:15" x14ac:dyDescent="0.25">
      <c r="A41" t="s">
        <v>86</v>
      </c>
      <c r="B41" s="12" t="s">
        <v>87</v>
      </c>
      <c r="C41" s="6" t="s">
        <v>88</v>
      </c>
      <c r="E41">
        <v>34</v>
      </c>
      <c r="F41" s="9">
        <f>IF(ROUND($B$45,0)=0,1,$B$44+(1-$B$44)*MIN(1,(E41-1)/ROUND($B$45,0)))</f>
        <v>1</v>
      </c>
      <c r="G41" s="10">
        <f>ROUND((($B$24+$B$26)*$B$6*$B$10+($B$25+$B$27)*$B$6*$B$11)*F41*$B$72,0)</f>
        <v>390</v>
      </c>
      <c r="H41" s="7">
        <f>ROUND(G41*(1-$B$28)*$B$9+$B$29*F41,0)</f>
        <v>234000</v>
      </c>
      <c r="I41" s="7">
        <f>ROUND(IF($B$50="через отток",(IF($B$47&gt;0,G41/$B$47,0)*$B$48+IF($B$47&gt;0,MAX(0,G41/$B$47-G40/$B$47),0))*$B$49,$B$46),0)</f>
        <v>10000</v>
      </c>
      <c r="J41" s="7">
        <f>ROUND(H41*$B$39,0)</f>
        <v>4680</v>
      </c>
      <c r="K41" s="7">
        <f>ROUND(IF($B$41="УСН 15%",MAX(H41*0.01,(H41-($B$82+I41+J41))*0.15),IF($B$41="УСН 6%",H41*0.06,H41*$B$40)),0)</f>
        <v>14040</v>
      </c>
      <c r="L41" s="7">
        <f>H41-$B$82-I41-J41-K41</f>
        <v>120410</v>
      </c>
      <c r="M41" s="7">
        <f>M40+L41</f>
        <v>1576360</v>
      </c>
      <c r="N41" s="10">
        <f>IF(M41&gt;=0,E41,999)</f>
        <v>34</v>
      </c>
      <c r="O41" s="10">
        <f>IF(L41&gt;0,E41,999)</f>
        <v>34</v>
      </c>
    </row>
    <row r="42" spans="5:15" x14ac:dyDescent="0.25">
      <c r="E42">
        <v>35</v>
      </c>
      <c r="F42" s="9">
        <f>IF(ROUND($B$45,0)=0,1,$B$44+(1-$B$44)*MIN(1,(E42-1)/ROUND($B$45,0)))</f>
        <v>1</v>
      </c>
      <c r="G42" s="10">
        <f>ROUND((($B$24+$B$26)*$B$6*$B$10+($B$25+$B$27)*$B$6*$B$11)*F42*$B$72,0)</f>
        <v>390</v>
      </c>
      <c r="H42" s="7">
        <f>ROUND(G42*(1-$B$28)*$B$9+$B$29*F42,0)</f>
        <v>234000</v>
      </c>
      <c r="I42" s="7">
        <f>ROUND(IF($B$50="через отток",(IF($B$47&gt;0,G42/$B$47,0)*$B$48+IF($B$47&gt;0,MAX(0,G42/$B$47-G41/$B$47),0))*$B$49,$B$46),0)</f>
        <v>10000</v>
      </c>
      <c r="J42" s="7">
        <f>ROUND(H42*$B$39,0)</f>
        <v>4680</v>
      </c>
      <c r="K42" s="7">
        <f>ROUND(IF($B$41="УСН 15%",MAX(H42*0.01,(H42-($B$82+I42+J42))*0.15),IF($B$41="УСН 6%",H42*0.06,H42*$B$40)),0)</f>
        <v>14040</v>
      </c>
      <c r="L42" s="7">
        <f>H42-$B$82-I42-J42-K42</f>
        <v>120410</v>
      </c>
      <c r="M42" s="7">
        <f>M41+L42</f>
        <v>1696770</v>
      </c>
      <c r="N42" s="10">
        <f>IF(M42&gt;=0,E42,999)</f>
        <v>35</v>
      </c>
      <c r="O42" s="10">
        <f>IF(L42&gt;0,E42,999)</f>
        <v>35</v>
      </c>
    </row>
    <row r="43" spans="1:15" x14ac:dyDescent="0.25">
      <c r="A43" s="4" t="s">
        <v>89</v>
      </c>
      <c r="B43" s="4"/>
      <c r="C43" s="4"/>
      <c r="E43">
        <v>36</v>
      </c>
      <c r="F43" s="9">
        <f>IF(ROUND($B$45,0)=0,1,$B$44+(1-$B$44)*MIN(1,(E43-1)/ROUND($B$45,0)))</f>
        <v>1</v>
      </c>
      <c r="G43" s="10">
        <f>ROUND((($B$24+$B$26)*$B$6*$B$10+($B$25+$B$27)*$B$6*$B$11)*F43*$B$72,0)</f>
        <v>390</v>
      </c>
      <c r="H43" s="7">
        <f>ROUND(G43*(1-$B$28)*$B$9+$B$29*F43,0)</f>
        <v>234000</v>
      </c>
      <c r="I43" s="7">
        <f>ROUND(IF($B$50="через отток",(IF($B$47&gt;0,G43/$B$47,0)*$B$48+IF($B$47&gt;0,MAX(0,G43/$B$47-G42/$B$47),0))*$B$49,$B$46),0)</f>
        <v>10000</v>
      </c>
      <c r="J43" s="7">
        <f>ROUND(H43*$B$39,0)</f>
        <v>4680</v>
      </c>
      <c r="K43" s="7">
        <f>ROUND(IF($B$41="УСН 15%",MAX(H43*0.01,(H43-($B$82+I43+J43))*0.15),IF($B$41="УСН 6%",H43*0.06,H43*$B$40)),0)</f>
        <v>14040</v>
      </c>
      <c r="L43" s="7">
        <f>H43-$B$82-I43-J43-K43</f>
        <v>120410</v>
      </c>
      <c r="M43" s="7">
        <f>M42+L43</f>
        <v>1817180</v>
      </c>
      <c r="N43" s="10">
        <f>IF(M43&gt;=0,E43,999)</f>
        <v>36</v>
      </c>
      <c r="O43" s="10">
        <f>IF(L43&gt;0,E43,999)</f>
        <v>36</v>
      </c>
    </row>
    <row r="44" spans="1:3" x14ac:dyDescent="0.25">
      <c r="A44" t="s">
        <v>90</v>
      </c>
      <c r="B44" s="11">
        <v>0.5</v>
      </c>
      <c r="C44" s="6" t="s">
        <v>91</v>
      </c>
    </row>
    <row r="45" spans="1:3" x14ac:dyDescent="0.25">
      <c r="A45" t="s">
        <v>92</v>
      </c>
      <c r="B45" s="5">
        <v>3</v>
      </c>
      <c r="C45" s="6" t="s">
        <v>93</v>
      </c>
    </row>
    <row r="46" spans="1:12" x14ac:dyDescent="0.25">
      <c r="A46" t="s">
        <v>27</v>
      </c>
      <c r="B46" s="8">
        <v>10000</v>
      </c>
      <c r="C46" s="6" t="s">
        <v>94</v>
      </c>
      <c r="E46" s="4" t="s">
        <v>95</v>
      </c>
      <c r="F46" s="4"/>
      <c r="G46" s="4"/>
      <c r="H46" s="4"/>
      <c r="I46" s="4"/>
      <c r="J46" s="4"/>
      <c r="K46" s="4"/>
      <c r="L46" s="4"/>
    </row>
    <row r="47" spans="1:12" x14ac:dyDescent="0.25">
      <c r="A47" t="s">
        <v>96</v>
      </c>
      <c r="B47" s="5">
        <v>6</v>
      </c>
      <c r="C47" s="6" t="s">
        <v>97</v>
      </c>
      <c r="E47" t="s">
        <v>98</v>
      </c>
      <c r="F47" t="s">
        <v>99</v>
      </c>
      <c r="G47" t="s">
        <v>25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</row>
    <row r="48" spans="1:12" x14ac:dyDescent="0.25">
      <c r="A48" t="s">
        <v>100</v>
      </c>
      <c r="B48" s="11">
        <v>0.1</v>
      </c>
      <c r="C48" s="6" t="s">
        <v>101</v>
      </c>
      <c r="E48" s="13">
        <v>-0.1</v>
      </c>
      <c r="F48" s="13">
        <v>-0.1</v>
      </c>
      <c r="G48" s="10">
        <f>ROUND((($B$24+$B$26)*$B$6*MIN(1,MAX(0,$B$10+E48))+($B$25+$B$27)*$B$6*MIN(1,MAX(0,$B$11+E48)))*1*$B$72,0)</f>
        <v>303</v>
      </c>
      <c r="H48" s="7">
        <f>ROUND(G48*(1-$B$28)*($B$9*(1+F48))+$B$29*1,0)</f>
        <v>163620</v>
      </c>
      <c r="I48" s="7">
        <f>ROUND(IF($B$50="через отток",(IF($B$47&gt;0,G48/$B$47,0)*$B$48+0)*$B$49,$B$46),0)</f>
        <v>10000</v>
      </c>
      <c r="J48" s="7">
        <f>ROUND(H48*$B$39,0)</f>
        <v>3272</v>
      </c>
      <c r="K48" s="7">
        <f>ROUND(IF($B$41="УСН 15%",MAX(H48*0.01,(H48-($B$82+I48+J48))*0.15),IF($B$41="УСН 6%",H48*0.06,H48*$B$40)),0)</f>
        <v>9817</v>
      </c>
      <c r="L48" s="7">
        <f>H48-$B$82-I48-J48-K48</f>
        <v>55661</v>
      </c>
    </row>
    <row r="49" spans="1:12" x14ac:dyDescent="0.25">
      <c r="A49" t="s">
        <v>102</v>
      </c>
      <c r="B49" s="8">
        <v>2500</v>
      </c>
      <c r="C49" s="6" t="s">
        <v>103</v>
      </c>
      <c r="E49" s="13">
        <v>-0.1</v>
      </c>
      <c r="F49" s="13">
        <v>0</v>
      </c>
      <c r="G49" s="10">
        <f>ROUND((($B$24+$B$26)*$B$6*MIN(1,MAX(0,$B$10+E49))+($B$25+$B$27)*$B$6*MIN(1,MAX(0,$B$11+E49)))*1*$B$72,0)</f>
        <v>303</v>
      </c>
      <c r="H49" s="7">
        <f>ROUND(G49*(1-$B$28)*($B$9*(1+F49))+$B$29*1,0)</f>
        <v>181800</v>
      </c>
      <c r="I49" s="7">
        <f>ROUND(IF($B$50="через отток",(IF($B$47&gt;0,G49/$B$47,0)*$B$48+0)*$B$49,$B$46),0)</f>
        <v>10000</v>
      </c>
      <c r="J49" s="7">
        <f>ROUND(H49*$B$39,0)</f>
        <v>3636</v>
      </c>
      <c r="K49" s="7">
        <f>ROUND(IF($B$41="УСН 15%",MAX(H49*0.01,(H49-($B$82+I49+J49))*0.15),IF($B$41="УСН 6%",H49*0.06,H49*$B$40)),0)</f>
        <v>10908</v>
      </c>
      <c r="L49" s="7">
        <f>H49-$B$82-I49-J49-K49</f>
        <v>72386</v>
      </c>
    </row>
    <row r="50" spans="1:12" x14ac:dyDescent="0.25">
      <c r="A50" t="s">
        <v>104</v>
      </c>
      <c r="B50" s="12" t="s">
        <v>105</v>
      </c>
      <c r="C50" s="6" t="s">
        <v>106</v>
      </c>
      <c r="E50" s="13">
        <v>-0.1</v>
      </c>
      <c r="F50" s="13">
        <v>0.1</v>
      </c>
      <c r="G50" s="10">
        <f>ROUND((($B$24+$B$26)*$B$6*MIN(1,MAX(0,$B$10+E50))+($B$25+$B$27)*$B$6*MIN(1,MAX(0,$B$11+E50)))*1*$B$72,0)</f>
        <v>303</v>
      </c>
      <c r="H50" s="7">
        <f>ROUND(G50*(1-$B$28)*($B$9*(1+F50))+$B$29*1,0)</f>
        <v>199980</v>
      </c>
      <c r="I50" s="7">
        <f>ROUND(IF($B$50="через отток",(IF($B$47&gt;0,G50/$B$47,0)*$B$48+0)*$B$49,$B$46),0)</f>
        <v>10000</v>
      </c>
      <c r="J50" s="7">
        <f>ROUND(H50*$B$39,0)</f>
        <v>4000</v>
      </c>
      <c r="K50" s="7">
        <f>ROUND(IF($B$41="УСН 15%",MAX(H50*0.01,(H50-($B$82+I50+J50))*0.15),IF($B$41="УСН 6%",H50*0.06,H50*$B$40)),0)</f>
        <v>11999</v>
      </c>
      <c r="L50" s="7">
        <f>H50-$B$82-I50-J50-K50</f>
        <v>89111</v>
      </c>
    </row>
    <row r="51" spans="5:12" x14ac:dyDescent="0.25">
      <c r="E51" s="13">
        <v>0</v>
      </c>
      <c r="F51" s="13">
        <v>-0.1</v>
      </c>
      <c r="G51" s="10">
        <f>ROUND((($B$24+$B$26)*$B$6*MIN(1,MAX(0,$B$10+E51))+($B$25+$B$27)*$B$6*MIN(1,MAX(0,$B$11+E51)))*1*$B$72,0)</f>
        <v>390</v>
      </c>
      <c r="H51" s="7">
        <f>ROUND(G51*(1-$B$28)*($B$9*(1+F51))+$B$29*1,0)</f>
        <v>210600</v>
      </c>
      <c r="I51" s="7">
        <f>ROUND(IF($B$50="через отток",(IF($B$47&gt;0,G51/$B$47,0)*$B$48+0)*$B$49,$B$46),0)</f>
        <v>10000</v>
      </c>
      <c r="J51" s="7">
        <f>ROUND(H51*$B$39,0)</f>
        <v>4212</v>
      </c>
      <c r="K51" s="7">
        <f>ROUND(IF($B$41="УСН 15%",MAX(H51*0.01,(H51-($B$82+I51+J51))*0.15),IF($B$41="УСН 6%",H51*0.06,H51*$B$40)),0)</f>
        <v>12636</v>
      </c>
      <c r="L51" s="7">
        <f>H51-$B$82-I51-J51-K51</f>
        <v>98882</v>
      </c>
    </row>
    <row r="52" spans="1:12" x14ac:dyDescent="0.25">
      <c r="A52" s="4" t="s">
        <v>107</v>
      </c>
      <c r="B52" s="4"/>
      <c r="C52" s="4"/>
      <c r="E52" s="13">
        <v>0</v>
      </c>
      <c r="F52" s="13">
        <v>0</v>
      </c>
      <c r="G52" s="10">
        <f>ROUND((($B$24+$B$26)*$B$6*MIN(1,MAX(0,$B$10+E52))+($B$25+$B$27)*$B$6*MIN(1,MAX(0,$B$11+E52)))*1*$B$72,0)</f>
        <v>390</v>
      </c>
      <c r="H52" s="7">
        <f>ROUND(G52*(1-$B$28)*($B$9*(1+F52))+$B$29*1,0)</f>
        <v>234000</v>
      </c>
      <c r="I52" s="7">
        <f>ROUND(IF($B$50="через отток",(IF($B$47&gt;0,G52/$B$47,0)*$B$48+0)*$B$49,$B$46),0)</f>
        <v>10000</v>
      </c>
      <c r="J52" s="7">
        <f>ROUND(H52*$B$39,0)</f>
        <v>4680</v>
      </c>
      <c r="K52" s="7">
        <f>ROUND(IF($B$41="УСН 15%",MAX(H52*0.01,(H52-($B$82+I52+J52))*0.15),IF($B$41="УСН 6%",H52*0.06,H52*$B$40)),0)</f>
        <v>14040</v>
      </c>
      <c r="L52" s="7">
        <f>H52-$B$82-I52-J52-K52</f>
        <v>120410</v>
      </c>
    </row>
    <row r="53" spans="1:12" x14ac:dyDescent="0.25">
      <c r="A53" t="s">
        <v>108</v>
      </c>
      <c r="B53" s="8">
        <v>0</v>
      </c>
      <c r="C53" s="6" t="s">
        <v>109</v>
      </c>
      <c r="E53" s="13">
        <v>0</v>
      </c>
      <c r="F53" s="13">
        <v>0.1</v>
      </c>
      <c r="G53" s="10">
        <f>ROUND((($B$24+$B$26)*$B$6*MIN(1,MAX(0,$B$10+E53))+($B$25+$B$27)*$B$6*MIN(1,MAX(0,$B$11+E53)))*1*$B$72,0)</f>
        <v>390</v>
      </c>
      <c r="H53" s="7">
        <f>ROUND(G53*(1-$B$28)*($B$9*(1+F53))+$B$29*1,0)</f>
        <v>257400</v>
      </c>
      <c r="I53" s="7">
        <f>ROUND(IF($B$50="через отток",(IF($B$47&gt;0,G53/$B$47,0)*$B$48+0)*$B$49,$B$46),0)</f>
        <v>10000</v>
      </c>
      <c r="J53" s="7">
        <f>ROUND(H53*$B$39,0)</f>
        <v>5148</v>
      </c>
      <c r="K53" s="7">
        <f>ROUND(IF($B$41="УСН 15%",MAX(H53*0.01,(H53-($B$82+I53+J53))*0.15),IF($B$41="УСН 6%",H53*0.06,H53*$B$40)),0)</f>
        <v>15444</v>
      </c>
      <c r="L53" s="7">
        <f>H53-$B$82-I53-J53-K53</f>
        <v>141938</v>
      </c>
    </row>
    <row r="54" spans="1:12" x14ac:dyDescent="0.25">
      <c r="A54" t="s">
        <v>110</v>
      </c>
      <c r="B54" s="8">
        <v>1290</v>
      </c>
      <c r="E54" s="13">
        <v>0.1</v>
      </c>
      <c r="F54" s="13">
        <v>-0.1</v>
      </c>
      <c r="G54" s="10">
        <f>ROUND((($B$24+$B$26)*$B$6*MIN(1,MAX(0,$B$10+E54))+($B$25+$B$27)*$B$6*MIN(1,MAX(0,$B$11+E54)))*1*$B$72,0)</f>
        <v>477</v>
      </c>
      <c r="H54" s="7">
        <f>ROUND(G54*(1-$B$28)*($B$9*(1+F54))+$B$29*1,0)</f>
        <v>257580</v>
      </c>
      <c r="I54" s="7">
        <f>ROUND(IF($B$50="через отток",(IF($B$47&gt;0,G54/$B$47,0)*$B$48+0)*$B$49,$B$46),0)</f>
        <v>10000</v>
      </c>
      <c r="J54" s="7">
        <f>ROUND(H54*$B$39,0)</f>
        <v>5152</v>
      </c>
      <c r="K54" s="7">
        <f>ROUND(IF($B$41="УСН 15%",MAX(H54*0.01,(H54-($B$82+I54+J54))*0.15),IF($B$41="УСН 6%",H54*0.06,H54*$B$40)),0)</f>
        <v>15455</v>
      </c>
      <c r="L54" s="7">
        <f>H54-$B$82-I54-J54-K54</f>
        <v>142103</v>
      </c>
    </row>
    <row r="55" spans="1:12" x14ac:dyDescent="0.25">
      <c r="A55" t="s">
        <v>111</v>
      </c>
      <c r="B55" s="8">
        <v>1290</v>
      </c>
      <c r="E55" s="13">
        <v>0.1</v>
      </c>
      <c r="F55" s="13">
        <v>0</v>
      </c>
      <c r="G55" s="10">
        <f>ROUND((($B$24+$B$26)*$B$6*MIN(1,MAX(0,$B$10+E55))+($B$25+$B$27)*$B$6*MIN(1,MAX(0,$B$11+E55)))*1*$B$72,0)</f>
        <v>477</v>
      </c>
      <c r="H55" s="7">
        <f>ROUND(G55*(1-$B$28)*($B$9*(1+F55))+$B$29*1,0)</f>
        <v>286200</v>
      </c>
      <c r="I55" s="7">
        <f>ROUND(IF($B$50="через отток",(IF($B$47&gt;0,G55/$B$47,0)*$B$48+0)*$B$49,$B$46),0)</f>
        <v>10000</v>
      </c>
      <c r="J55" s="7">
        <f>ROUND(H55*$B$39,0)</f>
        <v>5724</v>
      </c>
      <c r="K55" s="7">
        <f>ROUND(IF($B$41="УСН 15%",MAX(H55*0.01,(H55-($B$82+I55+J55))*0.15),IF($B$41="УСН 6%",H55*0.06,H55*$B$40)),0)</f>
        <v>17172</v>
      </c>
      <c r="L55" s="7">
        <f>H55-$B$82-I55-J55-K55</f>
        <v>168434</v>
      </c>
    </row>
    <row r="56" spans="1:12" x14ac:dyDescent="0.25">
      <c r="A56" t="s">
        <v>112</v>
      </c>
      <c r="B56" s="8">
        <v>1990</v>
      </c>
      <c r="E56" s="13">
        <v>0.1</v>
      </c>
      <c r="F56" s="13">
        <v>0.1</v>
      </c>
      <c r="G56" s="10">
        <f>ROUND((($B$24+$B$26)*$B$6*MIN(1,MAX(0,$B$10+E56))+($B$25+$B$27)*$B$6*MIN(1,MAX(0,$B$11+E56)))*1*$B$72,0)</f>
        <v>477</v>
      </c>
      <c r="H56" s="7">
        <f>ROUND(G56*(1-$B$28)*($B$9*(1+F56))+$B$29*1,0)</f>
        <v>314820</v>
      </c>
      <c r="I56" s="7">
        <f>ROUND(IF($B$50="через отток",(IF($B$47&gt;0,G56/$B$47,0)*$B$48+0)*$B$49,$B$46),0)</f>
        <v>10000</v>
      </c>
      <c r="J56" s="7">
        <f>ROUND(H56*$B$39,0)</f>
        <v>6296</v>
      </c>
      <c r="K56" s="7">
        <f>ROUND(IF($B$41="УСН 15%",MAX(H56*0.01,(H56-($B$82+I56+J56))*0.15),IF($B$41="УСН 6%",H56*0.06,H56*$B$40)),0)</f>
        <v>18889</v>
      </c>
      <c r="L56" s="7">
        <f>H56-$B$82-I56-J56-K56</f>
        <v>194765</v>
      </c>
    </row>
    <row r="57" spans="1:2" x14ac:dyDescent="0.25">
      <c r="A57" t="s">
        <v>113</v>
      </c>
      <c r="B57" s="8">
        <v>1290</v>
      </c>
    </row>
    <row r="58" spans="1:2" x14ac:dyDescent="0.25">
      <c r="A58" t="s">
        <v>114</v>
      </c>
      <c r="B58" s="7">
        <f>$B$53+$B$54+IF($B$6&lt;=20,$B$55,$B$56)+IF($B$26+$B$27&gt;0,$B$57,0)</f>
        <v>3870</v>
      </c>
    </row>
    <row r="60" spans="1:3" x14ac:dyDescent="0.25">
      <c r="A60" s="4" t="s">
        <v>115</v>
      </c>
      <c r="B60" s="4"/>
      <c r="C60" s="4"/>
    </row>
    <row r="61" spans="1:2" x14ac:dyDescent="0.25">
      <c r="A61" t="s">
        <v>116</v>
      </c>
      <c r="B61" s="7">
        <f>ROUND($B$6*$B$14,0)</f>
        <v>1200000</v>
      </c>
    </row>
    <row r="62" spans="1:2" x14ac:dyDescent="0.25">
      <c r="A62" t="s">
        <v>117</v>
      </c>
      <c r="B62" s="7">
        <f>ROUND($B$21,0)</f>
        <v>23000</v>
      </c>
    </row>
    <row r="63" spans="1:2" x14ac:dyDescent="0.25">
      <c r="A63" t="s">
        <v>46</v>
      </c>
      <c r="B63" s="7">
        <f>ROUND($B$7*$B$15,0)</f>
        <v>420000</v>
      </c>
    </row>
    <row r="64" spans="1:2" x14ac:dyDescent="0.25">
      <c r="A64" t="s">
        <v>118</v>
      </c>
      <c r="B64" s="7">
        <f>ROUND($B$16,0)</f>
        <v>400000</v>
      </c>
    </row>
    <row r="65" spans="1:2" x14ac:dyDescent="0.25">
      <c r="A65" t="s">
        <v>50</v>
      </c>
      <c r="B65" s="7">
        <f>ROUND($B$17,0)</f>
        <v>0</v>
      </c>
    </row>
    <row r="66" spans="1:2" x14ac:dyDescent="0.25">
      <c r="A66" t="s">
        <v>52</v>
      </c>
      <c r="B66" s="7">
        <f>ROUND($B$18*$B$8,0)</f>
        <v>0</v>
      </c>
    </row>
    <row r="67" spans="1:2" x14ac:dyDescent="0.25">
      <c r="A67" t="s">
        <v>54</v>
      </c>
      <c r="B67" s="7">
        <f>ROUND($B$19,0)</f>
        <v>50000</v>
      </c>
    </row>
    <row r="68" spans="1:2" x14ac:dyDescent="0.25">
      <c r="A68" t="s">
        <v>119</v>
      </c>
      <c r="B68" s="7">
        <f>ROUND(($B$6*$B$14+$B$21+$B$7*$B$15+$B$16+$B$17+$B$18*$B$8+$B$19)*$B$20,0)</f>
        <v>209300</v>
      </c>
    </row>
    <row r="69" spans="1:2" x14ac:dyDescent="0.25">
      <c r="A69" s="14" t="s">
        <v>120</v>
      </c>
      <c r="B69" s="15">
        <f>$B$61+$B$62+$B$63+$B$64+$B$65+$B$66+$B$67+$B$68</f>
        <v>2302300</v>
      </c>
    </row>
    <row r="71" spans="1:3" x14ac:dyDescent="0.25">
      <c r="A71" s="4" t="s">
        <v>121</v>
      </c>
      <c r="B71" s="4"/>
      <c r="C71" s="4"/>
    </row>
    <row r="72" spans="1:2" x14ac:dyDescent="0.25">
      <c r="A72" t="s">
        <v>122</v>
      </c>
      <c r="B72" s="16">
        <f>52/12</f>
        <v>4.333333333333333</v>
      </c>
    </row>
    <row r="73" spans="1:2" x14ac:dyDescent="0.25">
      <c r="A73" t="s">
        <v>123</v>
      </c>
      <c r="B73" s="7">
        <f>ROUND($B$8,0)</f>
        <v>0</v>
      </c>
    </row>
    <row r="74" spans="1:2" x14ac:dyDescent="0.25">
      <c r="A74" t="s">
        <v>75</v>
      </c>
      <c r="B74" s="7">
        <f>ROUND($B$7*$B$34,0)</f>
        <v>0</v>
      </c>
    </row>
    <row r="75" spans="1:2" x14ac:dyDescent="0.25">
      <c r="A75" t="s">
        <v>124</v>
      </c>
      <c r="B75" s="7">
        <f>ROUND($B$33,0)</f>
        <v>0</v>
      </c>
    </row>
    <row r="76" spans="1:2" x14ac:dyDescent="0.25">
      <c r="A76" t="s">
        <v>125</v>
      </c>
      <c r="B76" s="7">
        <f>ROUND(($B$24+$B$25)*$B$32*$B$72,0)</f>
        <v>78000</v>
      </c>
    </row>
    <row r="77" spans="1:2" x14ac:dyDescent="0.25">
      <c r="A77" t="s">
        <v>77</v>
      </c>
      <c r="B77" s="7">
        <f>ROUND($B$35,0)</f>
        <v>0</v>
      </c>
    </row>
    <row r="78" spans="1:2" x14ac:dyDescent="0.25">
      <c r="A78" t="s">
        <v>79</v>
      </c>
      <c r="B78" s="7">
        <f>ROUND($B$6*$B$14*$B$36/12,0)</f>
        <v>3000</v>
      </c>
    </row>
    <row r="79" spans="1:2" x14ac:dyDescent="0.25">
      <c r="A79" t="s">
        <v>126</v>
      </c>
      <c r="B79" s="7">
        <f>ROUND($B$37,0)</f>
        <v>0</v>
      </c>
    </row>
    <row r="80" spans="1:2" x14ac:dyDescent="0.25">
      <c r="A80" t="s">
        <v>82</v>
      </c>
      <c r="B80" s="7">
        <f>ROUND($B$38,0)</f>
        <v>0</v>
      </c>
    </row>
    <row r="81" spans="1:2" x14ac:dyDescent="0.25">
      <c r="A81" t="s">
        <v>127</v>
      </c>
      <c r="B81" s="7">
        <f>ROUND($B$58,0)</f>
        <v>3870</v>
      </c>
    </row>
    <row r="82" spans="1:2" x14ac:dyDescent="0.25">
      <c r="A82" s="14" t="s">
        <v>128</v>
      </c>
      <c r="B82" s="15">
        <f>$B$73+$B$74+$B$75+$B$76+$B$77+$B$78+$B$79+$B$80+$B$81</f>
        <v>84870</v>
      </c>
    </row>
    <row r="84" spans="1:3" x14ac:dyDescent="0.25">
      <c r="A84" s="4" t="s">
        <v>129</v>
      </c>
      <c r="B84" s="4"/>
      <c r="C84" s="4"/>
    </row>
    <row r="85" spans="1:2" x14ac:dyDescent="0.25">
      <c r="A85" t="s">
        <v>25</v>
      </c>
      <c r="B85" s="10">
        <f>ROUND((($B$24+$B$26)*$B$6*$B$10+($B$25+$B$27)*$B$6*$B$11)*1*$B$72,0)</f>
        <v>390</v>
      </c>
    </row>
    <row r="86" spans="1:2" x14ac:dyDescent="0.25">
      <c r="A86" t="s">
        <v>130</v>
      </c>
      <c r="B86" s="17">
        <f>IF(($B$24+$B$26+$B$25+$B$27)*$B$6&gt;0,$B$85/(($B$24+$B$26+$B$25+$B$27)*$B$6*$B$72),0)</f>
        <v>0.45</v>
      </c>
    </row>
    <row r="87" spans="1:2" x14ac:dyDescent="0.25">
      <c r="A87" t="s">
        <v>26</v>
      </c>
      <c r="B87" s="7">
        <f>ROUND($B$85*(1-$B$28)*$B$9+$B$29*1,0)</f>
        <v>234000</v>
      </c>
    </row>
    <row r="88" spans="1:2" x14ac:dyDescent="0.25">
      <c r="A88" t="s">
        <v>27</v>
      </c>
      <c r="B88" s="7">
        <f>ROUND(IF($B$50="через отток",(IF($B$47&gt;0,$B$85/$B$47,0)*$B$48+0)*$B$49,$B$46),0)</f>
        <v>10000</v>
      </c>
    </row>
    <row r="89" spans="1:2" x14ac:dyDescent="0.25">
      <c r="A89" t="s">
        <v>28</v>
      </c>
      <c r="B89" s="7">
        <f>ROUND($B$87*$B$39,0)</f>
        <v>4680</v>
      </c>
    </row>
    <row r="90" spans="1:2" x14ac:dyDescent="0.25">
      <c r="A90" t="s">
        <v>29</v>
      </c>
      <c r="B90" s="7">
        <f>ROUND(IF($B$41="УСН 15%",MAX($B$87*0.01,($B$87-($B$82+$B$88+$B$89))*0.15),IF($B$41="УСН 6%",$B$87*0.06,$B$87*$B$40)),0)</f>
        <v>14040</v>
      </c>
    </row>
    <row r="91" spans="1:2" x14ac:dyDescent="0.25">
      <c r="A91" s="14" t="s">
        <v>131</v>
      </c>
      <c r="B91" s="15">
        <f>$B$87-$B$82-$B$88-$B$89-$B$90</f>
        <v>120410</v>
      </c>
    </row>
    <row r="93" spans="1:3" x14ac:dyDescent="0.25">
      <c r="A93" s="4" t="s">
        <v>132</v>
      </c>
      <c r="B93" s="4"/>
      <c r="C93" s="4"/>
    </row>
    <row r="94" spans="1:3" x14ac:dyDescent="0.25">
      <c r="A94" s="14" t="s">
        <v>133</v>
      </c>
      <c r="B94" s="18">
        <f>IF(MIN(N8:N43)&gt;36,"не окупается за 36 мес",MIN(N8:N43))</f>
        <v>21</v>
      </c>
      <c r="C94" s="6" t="s">
        <v>134</v>
      </c>
    </row>
    <row r="95" spans="1:3" x14ac:dyDescent="0.25">
      <c r="A95" s="14" t="s">
        <v>135</v>
      </c>
      <c r="B95" s="15">
        <f>MAX(0,-MIN(M7:M43))</f>
        <v>2302300</v>
      </c>
      <c r="C95" s="6" t="s">
        <v>136</v>
      </c>
    </row>
    <row r="96" spans="1:2" x14ac:dyDescent="0.25">
      <c r="A96" t="s">
        <v>137</v>
      </c>
      <c r="B96" s="10">
        <f>IF(MIN(O8:O43)&gt;36,"нет",MIN(O8:O43))</f>
        <v>1</v>
      </c>
    </row>
  </sheetData>
  <dataValidations count="2">
    <dataValidation type="list" sqref="B41">
      <formula1>"УСН 6%,УСН 15%,свой %"</formula1>
    </dataValidation>
    <dataValidation type="list" sqref="B50">
      <formula1>"суммой,через отток"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Как пользоваться</vt:lpstr>
      <vt:lpstr>Сайкл</vt:lpstr>
      <vt:lpstr>Гребля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TRIDE</dc:creator>
  <dc:title/>
  <dc:subject/>
  <dc:description/>
  <cp:keywords/>
  <cp:category/>
  <cp:lastModifiedBy>Unknown</cp:lastModifiedBy>
  <dcterms:created xsi:type="dcterms:W3CDTF">2026-10-19T00:06:54Z</dcterms:created>
  <dcterms:modified xsi:type="dcterms:W3CDTF">2026-10-19T00:06:54Z</dcterms:modified>
</cp:coreProperties>
</file>